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QeIeBHjtEgeplw0PBC2RO4LqmQHA9iELgnF+Tk/YA7GNCB5G1TCPYB13xKta5yNx3+gyfln/IgBspnPDf1R4bw==" workbookSaltValue="Azb85PcERQ0sY2oL8wwl2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V25" i="16"/>
  <c r="BW11" i="20"/>
  <c r="S21" i="17"/>
  <c r="BW28" i="20"/>
  <c r="BU13" i="17"/>
  <c r="BW21" i="20"/>
  <c r="BV9" i="16"/>
  <c r="T14" i="16"/>
  <c r="AA29" i="16"/>
  <c r="AA18" i="16"/>
  <c r="AZ12" i="11"/>
  <c r="AZ11" i="11"/>
  <c r="Q18" i="17"/>
  <c r="BH10"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X32" i="20"/>
  <c r="G30" i="14"/>
  <c r="G23" i="14"/>
  <c r="BG16" i="8" l="1"/>
  <c r="K16" i="7" s="1"/>
  <c r="BD12" i="8"/>
  <c r="H12" i="7" s="1"/>
  <c r="AK31" i="8"/>
  <c r="F14" i="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I9" i="11"/>
  <c r="BI20" i="11"/>
  <c r="BG12" i="11"/>
  <c r="S11" i="14"/>
  <c r="V11" i="14" s="1"/>
  <c r="AZ20" i="11"/>
  <c r="S25" i="17"/>
  <c r="BU12" i="17"/>
  <c r="BV22" i="16"/>
  <c r="BW10" i="20"/>
  <c r="BU19" i="17"/>
  <c r="BU9" i="17"/>
  <c r="X21" i="16"/>
  <c r="BW17" i="20"/>
  <c r="BU21" i="17"/>
  <c r="BU11" i="17"/>
  <c r="BJ28" i="11"/>
  <c r="AZ9" i="11"/>
  <c r="AZ14" i="11" s="1"/>
  <c r="AZ13" i="11"/>
  <c r="BI19" i="11"/>
  <c r="BI25" i="11"/>
  <c r="BG22" i="11"/>
  <c r="Q18" i="20"/>
  <c r="Q23" i="20" s="1"/>
  <c r="V16" i="11"/>
  <c r="Z14" i="17"/>
  <c r="BE16" i="13"/>
  <c r="BF17" i="8"/>
  <c r="B16" i="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U29" i="17"/>
  <c r="BV21" i="16"/>
  <c r="BW13" i="20"/>
  <c r="BV13" i="16"/>
  <c r="BV28" i="16"/>
  <c r="BU25" i="17"/>
  <c r="BG21" i="11"/>
  <c r="AP18" i="20"/>
  <c r="AP26" i="21"/>
  <c r="BG19" i="11"/>
  <c r="V20" i="11"/>
  <c r="AP16" i="20"/>
  <c r="BJ16" i="11"/>
  <c r="V9" i="11"/>
  <c r="BM12" i="11"/>
  <c r="V11" i="11"/>
  <c r="BK29" i="11"/>
  <c r="BG20" i="11"/>
  <c r="BF28" i="11"/>
  <c r="BH16" i="16"/>
  <c r="BF13" i="11"/>
  <c r="BH9"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I32" i="20"/>
  <c r="S32" i="20"/>
  <c r="R32" i="20"/>
  <c r="N32" i="20"/>
  <c r="AA32" i="20"/>
  <c r="G14" i="14"/>
  <c r="AC32" i="20"/>
  <c r="AN32" i="20"/>
  <c r="AB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F30" i="2" s="1"/>
  <c r="H28" i="7"/>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<sst xmlns="http://schemas.openxmlformats.org/spreadsheetml/2006/main" count="2644" uniqueCount="1176">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</sst>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1169</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1170</v>
      </c>
      <c r="B9" s="421" t="s">
        <v>1171</v>
      </c>
      <c r="C9" s="418"/>
      <c r="D9" s="418"/>
      <c r="E9" s="427"/>
      <c r="F9" s="3"/>
    </row>
    <row r="10" spans="1:19">
      <c r="A10" s="426" t="s">
        <v>1172</v>
      </c>
      <c r="B10" s="418" t="s">
        <v>1173</v>
      </c>
      <c r="C10" s="418"/>
      <c r="D10" s="418"/>
      <c r="E10" s="427"/>
      <c r="F10" s="3"/>
      <c r="Q10" s="391">
        <v>0</v>
      </c>
    </row>
    <row r="11" spans="1:19" ht="13.5" thickBot="1">
      <c r="A11" s="428" t="s">
        <v>1174</v>
      </c>
      <c r="B11" s="429" t="s">
        <v>1175</v>
      </c>
      <c r="C11" s="429"/>
      <c r="D11" s="429"/>
      <c r="E11" s="430"/>
      <c r="F11" s="3"/>
    </row>
    <row r="12" spans="1:19" ht="40.5" customHeight="1" thickBot="1">
      <c r="A12" s="420"/>
      <c r="B12" s="418"/>
      <c r="C12" s="418"/>
      <c r="D12" s="418"/>
      <c r="E12" s="418"/>
      <c r="F12" s="3"/>
      <c r="Q12" s="1471"/>
    </row>
    <row r="13" spans="1:19" ht="15">
      <c r="A13" s="431" t="s">
        <v>168</v>
      </c>
      <c r="B13" s="432" t="s">
        <v>87</v>
      </c>
      <c r="C13" s="1079" t="s">
        <v>924</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fwFceNiWX44MyqpRwxCK+dJtkO4Xs7qAlnb2Dj6DFjGCbQU7xhC/T1qNRekNnzYGoHB6CmgqGC+NvSP45vmDg==" saltValue="R1s+UdxhHcQ2ETxz/3dQ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COMUNIDAD VALENCIANA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5.7503689408559424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101</v>
      </c>
      <c r="F10" s="240">
        <f>IF(ISNUMBER(Datos!K10),Datos!K10," - ")</f>
        <v>74</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0.67500000000000004</v>
      </c>
      <c r="L10" s="1402">
        <f>IF(ISNUMBER(NºAsuntos!I10/NºAsuntos!G10),(NºAsuntos!I10/NºAsuntos!G10)*11," - ")</f>
        <v>9.9594594594594597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101</v>
      </c>
      <c r="F14" s="1409">
        <f>SUBTOTAL(9,F9:F13)</f>
        <v>74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1645</v>
      </c>
      <c r="D16" s="239">
        <f>IF(ISNUMBER(IF(D_I="SI",Datos!I16,Datos!I16+Datos!AC16)),IF(D_I="SI",Datos!I16,Datos!I16+Datos!AC16)," - ")</f>
        <v>1409</v>
      </c>
      <c r="E16" s="240">
        <f>IF(ISNUMBER(IF(D_I="SI",Datos!J16,Datos!J16+Datos!AD16)),IF(D_I="SI",Datos!J16,Datos!J16+Datos!AD16)," - ")</f>
        <v>8399</v>
      </c>
      <c r="F16" s="240">
        <f>IF(ISNUMBER(IF(D_I="SI",Datos!K16,Datos!K16+Datos!AE16)),IF(D_I="SI",Datos!K16,Datos!K16+Datos!AE16)," - ")</f>
        <v>8658</v>
      </c>
      <c r="G16" s="1390" t="str">
        <f>IF(Datos!E16&lt;&gt;"",Datos!E16,Datos!D16)</f>
        <v>03</v>
      </c>
      <c r="H16" s="241">
        <f>IF(ISNUMBER(IF(D_I="SI",Datos!L16,Datos!L16+Datos!AF16)),IF(D_I="SI",Datos!L16,Datos!L16+Datos!AF16)," - ")</f>
        <v>1386</v>
      </c>
      <c r="I16" s="1400" t="str">
        <f>IF(ISNUMBER(Datos!AS16/Datos!BM16),Datos!AS16/Datos!BM16," - ")</f>
        <v xml:space="preserve"> - </v>
      </c>
      <c r="J16" s="1401">
        <f>IF(ISNUMBER(Datos!BY16/Datos!CN16),Datos!BY16/Datos!CN16," - ")</f>
        <v>0</v>
      </c>
      <c r="K16" s="244">
        <f t="shared" ref="K16:K22" si="3">IF(ISNUMBER((E16-F16)/C16),(E16-F16)/C16," - ")</f>
        <v>-0.1574468085106383</v>
      </c>
      <c r="L16" s="1402">
        <f>IF(ISNUMBER(NºAsuntos!I16/NºAsuntos!G16),(NºAsuntos!I16/NºAsuntos!G16)*11," - ")</f>
        <v>1.7609147609147611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906</v>
      </c>
      <c r="F18" s="240">
        <f>IF(ISNUMBER(IF(D_I="SI",Datos!K18,Datos!K18+Datos!AE18)),IF(D_I="SI",Datos!K18,Datos!K18+Datos!AE18)," - ")</f>
        <v>917</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-0.10679611650485436</v>
      </c>
      <c r="L18" s="1402">
        <f>IF(ISNUMBER(NºAsuntos!I18/NºAsuntos!G18),(NºAsuntos!I18/NºAsuntos!G18)*11," - ")</f>
        <v>1.1035986913849509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559</v>
      </c>
      <c r="D21" s="239">
        <f>IF(ISNUMBER(Datos!I21),Datos!I21," - ")</f>
        <v>532</v>
      </c>
      <c r="E21" s="240">
        <f>IF(ISNUMBER(Datos!J21),Datos!J21," - ")</f>
        <v>452</v>
      </c>
      <c r="F21" s="240">
        <f>IF(ISNUMBER(Datos!K21),Datos!K21," - ")</f>
        <v>399</v>
      </c>
      <c r="G21" s="1390" t="str">
        <f>IF(Datos!E21&lt;&gt;"",Datos!E21,Datos!D21)</f>
        <v>09</v>
      </c>
      <c r="H21" s="241">
        <f>IF(ISNUMBER(Datos!L21),Datos!L21," - ")</f>
        <v>612</v>
      </c>
      <c r="I21" s="1400" t="str">
        <f>IF(ISNUMBER(Datos!AS21/Datos!BM21),Datos!AS21/Datos!BM21," - ")</f>
        <v xml:space="preserve"> - </v>
      </c>
      <c r="J21" s="1401" t="str">
        <f>IF(ISNUMBER(Datos!BY21/Datos!CN21),Datos!BY21/Datos!CN21," - ")</f>
        <v xml:space="preserve"> - </v>
      </c>
      <c r="K21" s="244">
        <f t="shared" si="3"/>
        <v>9.4812164579606437E-2</v>
      </c>
      <c r="L21" s="1402">
        <f>IF(ISNUMBER(NºAsuntos!I21/NºAsuntos!G21),(NºAsuntos!I21/NºAsuntos!G21)*11," - ")</f>
        <v>16.872180451127818</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2307</v>
      </c>
      <c r="D23" s="1407">
        <f>SUBTOTAL(9,D16:D22)</f>
        <v>2044</v>
      </c>
      <c r="E23" s="1408">
        <f>SUBTOTAL(9,E16:E22)</f>
        <v>9757</v>
      </c>
      <c r="F23" s="1408">
        <f>SUBTOTAL(9,F16:F22)</f>
        <v>9974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2347</v>
      </c>
      <c r="D31" s="1435">
        <f>SUBTOTAL(9,D9:D30)</f>
        <v>2084</v>
      </c>
      <c r="E31" s="1436">
        <f>SUBTOTAL(9,E9:E30)</f>
        <v>9858</v>
      </c>
      <c r="F31" s="1436">
        <f>SUBTOTAL(9,F9:F30)</f>
        <v>10048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825</v>
      </c>
      <c r="O37" s="1711"/>
      <c r="P37" s="1711"/>
      <c r="Q37" s="1711"/>
      <c r="R37" s="1711"/>
      <c r="S37" s="1711"/>
      <c r="T37" s="1711"/>
      <c r="U37" s="1711"/>
      <c r="V37" s="1711"/>
      <c r="W37" s="1711"/>
      <c r="Y37" s="1711" t="s">
        <v>826</v>
      </c>
      <c r="Z37" s="1711"/>
      <c r="AA37" s="1711"/>
      <c r="AB37" s="1711"/>
      <c r="AC37" s="1711"/>
    </row>
    <row r="39" spans="2:29">
      <c r="N39" s="1386" t="s">
        <v>827</v>
      </c>
      <c r="O39" s="1706" t="s">
        <v>828</v>
      </c>
      <c r="P39" s="1706"/>
      <c r="Q39" s="1706"/>
      <c r="R39" s="1706"/>
      <c r="S39" s="1706"/>
      <c r="T39" s="1706"/>
      <c r="U39" s="1706"/>
      <c r="V39" s="1706"/>
      <c r="W39" s="1706"/>
      <c r="Y39" s="1386" t="s">
        <v>827</v>
      </c>
      <c r="Z39" s="1709" t="s">
        <v>829</v>
      </c>
      <c r="AA39" s="1709"/>
      <c r="AB39" s="1709"/>
      <c r="AC39" s="1709"/>
    </row>
    <row r="40" spans="2:29">
      <c r="N40" s="1386" t="s">
        <v>830</v>
      </c>
      <c r="O40" s="1706" t="s">
        <v>831</v>
      </c>
      <c r="P40" s="1706"/>
      <c r="Q40" s="1706"/>
      <c r="R40" s="1706"/>
      <c r="S40" s="1706"/>
      <c r="T40" s="1706"/>
      <c r="U40" s="1706"/>
      <c r="V40" s="1706"/>
      <c r="W40" s="1706"/>
      <c r="Y40" s="1386" t="s">
        <v>830</v>
      </c>
      <c r="Z40" s="1709" t="s">
        <v>832</v>
      </c>
      <c r="AA40" s="1709"/>
      <c r="AB40" s="1709"/>
      <c r="AC40" s="1709"/>
    </row>
    <row r="41" spans="2:29">
      <c r="N41" s="1386" t="s">
        <v>833</v>
      </c>
      <c r="O41" s="1706" t="s">
        <v>834</v>
      </c>
      <c r="P41" s="1706"/>
      <c r="Q41" s="1706"/>
      <c r="R41" s="1706"/>
      <c r="S41" s="1706"/>
      <c r="T41" s="1706"/>
      <c r="U41" s="1706"/>
      <c r="V41" s="1706"/>
      <c r="W41" s="1706"/>
      <c r="Y41" s="1386" t="s">
        <v>835</v>
      </c>
      <c r="Z41" s="1709" t="s">
        <v>836</v>
      </c>
      <c r="AA41" s="1709"/>
      <c r="AB41" s="1709"/>
      <c r="AC41" s="1709"/>
    </row>
    <row r="42" spans="2:29">
      <c r="N42" s="1386" t="s">
        <v>837</v>
      </c>
      <c r="O42" s="1706" t="s">
        <v>838</v>
      </c>
      <c r="P42" s="1706"/>
      <c r="Q42" s="1706"/>
      <c r="R42" s="1706"/>
      <c r="S42" s="1706"/>
      <c r="T42" s="1706"/>
      <c r="U42" s="1706"/>
      <c r="V42" s="1706"/>
      <c r="W42" s="1706"/>
      <c r="Y42" s="1386" t="s">
        <v>839</v>
      </c>
      <c r="Z42" s="1709" t="s">
        <v>840</v>
      </c>
      <c r="AA42" s="1709"/>
      <c r="AB42" s="1709"/>
      <c r="AC42" s="1709"/>
    </row>
    <row r="43" spans="2:29">
      <c r="N43" s="1386" t="s">
        <v>927</v>
      </c>
      <c r="O43" s="1706" t="s">
        <v>928</v>
      </c>
      <c r="P43" s="1706"/>
      <c r="Q43" s="1706"/>
      <c r="R43" s="1706"/>
      <c r="S43" s="1706"/>
      <c r="T43" s="1706"/>
      <c r="U43" s="1706"/>
      <c r="V43" s="1706"/>
      <c r="W43" s="1706"/>
      <c r="Y43" s="1386" t="s">
        <v>833</v>
      </c>
      <c r="Z43" s="1709" t="s">
        <v>834</v>
      </c>
      <c r="AA43" s="1709"/>
      <c r="AB43" s="1709"/>
      <c r="AC43" s="1709"/>
    </row>
    <row r="44" spans="2:29">
      <c r="N44" s="1386" t="s">
        <v>841</v>
      </c>
      <c r="O44" s="1706" t="s">
        <v>842</v>
      </c>
      <c r="P44" s="1706"/>
      <c r="Q44" s="1706"/>
      <c r="R44" s="1706"/>
      <c r="S44" s="1706"/>
      <c r="T44" s="1706"/>
      <c r="U44" s="1706"/>
      <c r="V44" s="1706"/>
      <c r="W44" s="1706"/>
      <c r="Y44" s="1386" t="s">
        <v>837</v>
      </c>
      <c r="Z44" s="1709" t="s">
        <v>838</v>
      </c>
      <c r="AA44" s="1709"/>
      <c r="AB44" s="1709"/>
      <c r="AC44" s="1709"/>
    </row>
    <row r="45" spans="2:29">
      <c r="N45" s="1386" t="s">
        <v>843</v>
      </c>
      <c r="O45" s="1706" t="s">
        <v>844</v>
      </c>
      <c r="P45" s="1706"/>
      <c r="Q45" s="1706"/>
      <c r="R45" s="1706"/>
      <c r="S45" s="1706"/>
      <c r="T45" s="1706"/>
      <c r="U45" s="1706"/>
      <c r="V45" s="1706"/>
      <c r="W45" s="1706"/>
      <c r="Y45" s="1386" t="s">
        <v>846</v>
      </c>
      <c r="Z45" s="1709" t="s">
        <v>847</v>
      </c>
      <c r="AA45" s="1709"/>
      <c r="AB45" s="1709"/>
      <c r="AC45" s="1709"/>
    </row>
    <row r="46" spans="2:29">
      <c r="N46" s="1386" t="s">
        <v>835</v>
      </c>
      <c r="O46" s="1706" t="s">
        <v>845</v>
      </c>
      <c r="P46" s="1706"/>
      <c r="Q46" s="1706"/>
      <c r="R46" s="1706"/>
      <c r="S46" s="1706"/>
      <c r="T46" s="1706"/>
      <c r="U46" s="1706"/>
      <c r="V46" s="1706"/>
      <c r="W46" s="1706"/>
      <c r="Y46" s="1386" t="s">
        <v>849</v>
      </c>
      <c r="Z46" s="1709" t="s">
        <v>850</v>
      </c>
      <c r="AA46" s="1709"/>
      <c r="AB46" s="1709"/>
      <c r="AC46" s="1709"/>
    </row>
    <row r="47" spans="2:29">
      <c r="N47" s="1386" t="s">
        <v>839</v>
      </c>
      <c r="O47" s="1706" t="s">
        <v>848</v>
      </c>
      <c r="P47" s="1706"/>
      <c r="Q47" s="1706"/>
      <c r="R47" s="1706"/>
      <c r="S47" s="1706"/>
      <c r="T47" s="1706"/>
      <c r="U47" s="1706"/>
      <c r="V47" s="1706"/>
      <c r="W47" s="1706"/>
      <c r="Y47" s="1387" t="s">
        <v>852</v>
      </c>
      <c r="Z47" s="1707" t="s">
        <v>853</v>
      </c>
      <c r="AA47" s="1707"/>
      <c r="AB47" s="1707"/>
      <c r="AC47" s="1707"/>
    </row>
    <row r="48" spans="2:29">
      <c r="N48" s="1386" t="s">
        <v>846</v>
      </c>
      <c r="O48" s="1706" t="s">
        <v>851</v>
      </c>
      <c r="P48" s="1706"/>
      <c r="Q48" s="1706"/>
      <c r="R48" s="1706"/>
      <c r="S48" s="1706"/>
      <c r="T48" s="1706"/>
      <c r="U48" s="1706"/>
      <c r="V48" s="1706"/>
      <c r="W48" s="1706"/>
      <c r="Y48" s="1386" t="s">
        <v>841</v>
      </c>
      <c r="Z48" s="1709" t="s">
        <v>842</v>
      </c>
      <c r="AA48" s="1709"/>
      <c r="AB48" s="1709"/>
      <c r="AC48" s="1709"/>
    </row>
    <row r="49" spans="14:29">
      <c r="N49" s="1386" t="s">
        <v>854</v>
      </c>
      <c r="O49" s="1706" t="s">
        <v>855</v>
      </c>
      <c r="P49" s="1706"/>
      <c r="Q49" s="1706"/>
      <c r="R49" s="1706"/>
      <c r="S49" s="1706"/>
      <c r="T49" s="1706"/>
      <c r="U49" s="1706"/>
      <c r="V49" s="1706"/>
      <c r="W49" s="1706"/>
      <c r="Y49" s="1388" t="s">
        <v>843</v>
      </c>
      <c r="Z49" s="1710" t="s">
        <v>844</v>
      </c>
      <c r="AA49" s="1710"/>
      <c r="AB49" s="1710"/>
      <c r="AC49" s="1710"/>
    </row>
    <row r="50" spans="14:29">
      <c r="N50" s="1386" t="s">
        <v>849</v>
      </c>
      <c r="O50" s="1706" t="s">
        <v>856</v>
      </c>
      <c r="P50" s="1706"/>
      <c r="Q50" s="1706"/>
      <c r="R50" s="1706"/>
      <c r="S50" s="1706"/>
      <c r="T50" s="1706"/>
      <c r="U50" s="1706"/>
      <c r="V50" s="1706"/>
      <c r="W50" s="1706"/>
    </row>
    <row r="51" spans="14:29">
      <c r="N51" s="1388" t="s">
        <v>852</v>
      </c>
      <c r="O51" s="1708" t="s">
        <v>857</v>
      </c>
      <c r="P51" s="1708"/>
      <c r="Q51" s="1708"/>
      <c r="R51" s="1708"/>
      <c r="S51" s="1708"/>
      <c r="T51" s="1708"/>
      <c r="U51" s="1708"/>
      <c r="V51" s="1708"/>
      <c r="W51" s="1708"/>
    </row>
  </sheetData>
  <sheetProtection algorithmName="SHA-512" hashValue="ztjv4OfCTycPjfBArmWBepstixOTPHaj6J0G2J1W3pmbWj42ZZKP98y7wtnycB4YG4i5vOWdTniJ/59FW2Xn1w==" saltValue="65XNJJJKyeBb8Ya2jMc1r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Ar1pl5lmpLSAY7OBJMQE0uSnOigEwXRrHcFNY41mFg70uACLuCekF7o2BarIdCtk1LBvJVfa95BBbwdxAHSltA==" saltValue="yksOT2l/Q7x73GDP4A7x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635</v>
      </c>
      <c r="DL5" s="1774" t="s">
        <v>639</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990</v>
      </c>
      <c r="ES5" s="1762" t="s">
        <v>1000</v>
      </c>
      <c r="ET5" s="1759" t="s">
        <v>1088</v>
      </c>
      <c r="EU5" s="1759" t="s">
        <v>1089</v>
      </c>
      <c r="EV5" s="1870" t="s">
        <v>1110</v>
      </c>
      <c r="EW5" s="1870" t="s">
        <v>1116</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636</v>
      </c>
      <c r="DL8" s="532" t="s">
        <v>637</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2" t="s">
        <v>989</v>
      </c>
      <c r="ER8" s="532">
        <v>148</v>
      </c>
      <c r="ES8" s="532" t="s">
        <v>1001</v>
      </c>
      <c r="ET8" s="1519" t="s">
        <v>1090</v>
      </c>
      <c r="EU8" s="1519" t="s">
        <v>1091</v>
      </c>
      <c r="EV8" s="165" t="s">
        <v>1099</v>
      </c>
      <c r="EW8" s="165">
        <v>153</v>
      </c>
      <c r="EX8" s="532" t="s">
        <v>1152</v>
      </c>
      <c r="EY8" s="532" t="s">
        <v>1166</v>
      </c>
    </row>
    <row r="9" spans="1:155" ht="14.25" customHeight="1">
      <c r="A9" s="20" t="s">
        <v>72</v>
      </c>
      <c r="B9" s="21" t="s">
        <v>518</v>
      </c>
      <c r="C9" s="22" t="s">
        <v>8</v>
      </c>
      <c r="D9" s="23" t="s">
        <v>25</v>
      </c>
      <c r="E9" s="21" t="s">
        <v>26</v>
      </c>
      <c r="F9" s="21">
        <v>32</v>
      </c>
      <c r="G9" s="6"/>
      <c r="H9" s="146" t="s">
        <v>319</v>
      </c>
      <c r="I9" s="193">
        <v>3860</v>
      </c>
      <c r="J9" s="194">
        <v>8460</v>
      </c>
      <c r="K9" s="194">
        <v>7906</v>
      </c>
      <c r="L9" s="194">
        <v>4369</v>
      </c>
      <c r="M9" s="194">
        <v>1547</v>
      </c>
      <c r="N9" s="194">
        <v>3291</v>
      </c>
      <c r="O9" s="194">
        <v>5194</v>
      </c>
      <c r="P9" s="194">
        <v>2005</v>
      </c>
      <c r="Q9" s="194">
        <v>1846</v>
      </c>
      <c r="R9" s="194">
        <v>7393</v>
      </c>
      <c r="S9" s="194">
        <v>4339</v>
      </c>
      <c r="T9" s="194">
        <v>7046</v>
      </c>
      <c r="U9" s="194">
        <v>7535</v>
      </c>
      <c r="V9" s="194">
        <v>3860</v>
      </c>
      <c r="W9" s="194">
        <v>1714</v>
      </c>
      <c r="X9" s="201">
        <v>3214</v>
      </c>
      <c r="Y9" s="204">
        <v>266</v>
      </c>
      <c r="Z9" s="194">
        <v>878</v>
      </c>
      <c r="AA9" s="194">
        <v>903</v>
      </c>
      <c r="AB9" s="194">
        <v>236</v>
      </c>
      <c r="AC9" s="194">
        <v>0</v>
      </c>
      <c r="AD9" s="194">
        <v>0</v>
      </c>
      <c r="AE9" s="194">
        <v>0</v>
      </c>
      <c r="AF9" s="201">
        <v>0</v>
      </c>
      <c r="AG9" s="204">
        <v>204</v>
      </c>
      <c r="AH9" s="194">
        <v>863</v>
      </c>
      <c r="AI9" s="194">
        <v>809</v>
      </c>
      <c r="AJ9" s="205">
        <v>266</v>
      </c>
      <c r="AK9" s="193">
        <v>0</v>
      </c>
      <c r="AL9" s="194">
        <v>0</v>
      </c>
      <c r="AM9" s="194">
        <v>0</v>
      </c>
      <c r="AN9" s="201">
        <v>0</v>
      </c>
      <c r="AO9" s="282">
        <v>6</v>
      </c>
      <c r="AP9" s="167">
        <v>6</v>
      </c>
      <c r="AQ9" s="167">
        <v>6</v>
      </c>
      <c r="AR9" s="206">
        <v>6</v>
      </c>
      <c r="AS9" s="379" t="s">
        <v>1055</v>
      </c>
      <c r="AT9" s="208"/>
      <c r="AU9" s="207"/>
      <c r="AV9" s="208"/>
      <c r="AW9" s="207"/>
      <c r="AX9" s="208"/>
      <c r="AY9" s="133">
        <f>IF(ISNUMBER(IF(J_V="SI",S9,S9+AG9)),IF(J_V="SI",S9,S9+AG9)," - ")</f>
        <v>4543</v>
      </c>
      <c r="AZ9" s="133">
        <f>IF(ISNUMBER(IF(J_V="SI",T9,T9+AH9)),IF(J_V="SI",T9,T9+AH9)," - ")</f>
        <v>7909</v>
      </c>
      <c r="BA9" s="134">
        <f>IF(ISNUMBER(IF(J_V="SI",U9,U9+AI9)),IF(J_V="SI",U9,U9+AI9)," - ")</f>
        <v>8344</v>
      </c>
      <c r="BB9" s="134">
        <f>IF(ISNUMBER(IF(J_V="SI",V9,V9+AJ9)),IF(J_V="SI",V9,V9+AJ9)," - ")</f>
        <v>4126</v>
      </c>
      <c r="BC9" s="135">
        <f>IF(ISNUMBER(X9),X9," - ")</f>
        <v>3214</v>
      </c>
      <c r="BD9" s="136">
        <f>IF(ISNUMBER(BA9/AZ9),BA9/AZ9," - ")</f>
        <v>1.0550006321911747</v>
      </c>
      <c r="BE9" s="137">
        <f>IF(ISNUMBER(BB9/BA9),BB9/BA9, " - ")</f>
        <v>0.49448705656759345</v>
      </c>
      <c r="BF9" s="137">
        <f>IF(ISNUMBER(BC9/BA9),BC9/BA9, " - ")</f>
        <v>0.38518696069031638</v>
      </c>
      <c r="BG9" s="209">
        <f>IF(ISNUMBER((AY9+AZ9)/BA9),(AY9+AZ9)/BA9," - ")</f>
        <v>1.4923298178331736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1125</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40</v>
      </c>
      <c r="J10" s="194">
        <v>101</v>
      </c>
      <c r="K10" s="194">
        <v>74</v>
      </c>
      <c r="L10" s="194">
        <v>67</v>
      </c>
      <c r="M10" s="194">
        <v>25</v>
      </c>
      <c r="N10" s="194">
        <v>36</v>
      </c>
      <c r="O10" s="194">
        <v>23</v>
      </c>
      <c r="P10" s="194">
        <v>26</v>
      </c>
      <c r="Q10" s="194">
        <v>15</v>
      </c>
      <c r="R10" s="194">
        <v>61</v>
      </c>
      <c r="S10" s="194">
        <v>47</v>
      </c>
      <c r="T10" s="194">
        <v>78</v>
      </c>
      <c r="U10" s="194">
        <v>85</v>
      </c>
      <c r="V10" s="194">
        <v>40</v>
      </c>
      <c r="W10" s="194">
        <v>48</v>
      </c>
      <c r="X10" s="201">
        <v>34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1049</v>
      </c>
      <c r="AT10" s="205"/>
      <c r="AU10" s="213"/>
      <c r="AV10" s="205"/>
      <c r="AW10" s="213"/>
      <c r="AX10" s="205"/>
      <c r="AY10" s="138">
        <f t="shared" ref="AY10:BC10" si="0">IF(ISNUMBER(S10),S10," - ")</f>
        <v>47</v>
      </c>
      <c r="AZ10" s="139">
        <f t="shared" si="0"/>
        <v>78</v>
      </c>
      <c r="BA10" s="139">
        <f t="shared" si="0"/>
        <v>85</v>
      </c>
      <c r="BB10" s="139">
        <f t="shared" si="0"/>
        <v>40</v>
      </c>
      <c r="BC10" s="135">
        <f t="shared" si="0"/>
        <v>48</v>
      </c>
      <c r="BD10" s="136">
        <f>IF(ISNUMBER(BA10/AZ10),BA10/AZ10," - ")</f>
        <v>1.0897435897435896</v>
      </c>
      <c r="BE10" s="137">
        <f>IF(ISNUMBER(BB10/BA10),BB10/BA10, " - ")</f>
        <v>0.47058823529411764</v>
      </c>
      <c r="BF10" s="137">
        <f>IF(ISNUMBER(BC10/BA10),BC10/BA10, " - ")</f>
        <v>0.56470588235294117</v>
      </c>
      <c r="BG10" s="209">
        <f>IF(ISNUMBER((AY10+AZ10)/BA10),(AY10+AZ10)/BA10," - ")</f>
        <v>1.4705882352941178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1023</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1069</v>
      </c>
      <c r="J11" s="196" t="s">
        <v>1056</v>
      </c>
      <c r="K11" s="196" t="s">
        <v>1132</v>
      </c>
      <c r="L11" s="196" t="s">
        <v>1074</v>
      </c>
      <c r="M11" s="196" t="s">
        <v>645</v>
      </c>
      <c r="N11" s="196" t="s">
        <v>659</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1057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1128</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1</v>
      </c>
      <c r="J12" s="196">
        <v>2</v>
      </c>
      <c r="K12" s="196">
        <v>2</v>
      </c>
      <c r="L12" s="196">
        <v>1</v>
      </c>
      <c r="M12" s="196">
        <v>0</v>
      </c>
      <c r="N12" s="196">
        <v>0</v>
      </c>
      <c r="O12" s="194">
        <v>3</v>
      </c>
      <c r="P12" s="196">
        <v>186</v>
      </c>
      <c r="Q12" s="196">
        <v>5</v>
      </c>
      <c r="R12" s="196">
        <v>281</v>
      </c>
      <c r="S12" s="196">
        <v>1</v>
      </c>
      <c r="T12" s="196">
        <v>1</v>
      </c>
      <c r="U12" s="196">
        <v>1</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1058</v>
      </c>
      <c r="AT12" s="216"/>
      <c r="AU12" s="215"/>
      <c r="AV12" s="216"/>
      <c r="AW12" s="215"/>
      <c r="AX12" s="216"/>
      <c r="AY12" s="136">
        <f t="shared" si="1"/>
        <v>1</v>
      </c>
      <c r="AZ12" s="137">
        <f t="shared" si="1"/>
        <v>1</v>
      </c>
      <c r="BA12" s="137">
        <f t="shared" si="1"/>
        <v>1</v>
      </c>
      <c r="BB12" s="137">
        <f t="shared" si="1"/>
        <v>1</v>
      </c>
      <c r="BC12" s="135">
        <f>IF(ISNUMBER(X12),X12," - ")</f>
        <v>0</v>
      </c>
      <c r="BD12" s="136">
        <f t="shared" si="2"/>
        <v>1</v>
      </c>
      <c r="BE12" s="137">
        <f t="shared" si="3"/>
        <v>1</v>
      </c>
      <c r="BF12" s="137">
        <f t="shared" si="4"/>
        <v>0</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1126</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661</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3901</v>
      </c>
      <c r="J14" s="197">
        <f t="shared" si="7"/>
        <v>8563</v>
      </c>
      <c r="K14" s="197">
        <f t="shared" si="7"/>
        <v>7982</v>
      </c>
      <c r="L14" s="197">
        <f t="shared" si="7"/>
        <v>4437</v>
      </c>
      <c r="M14" s="197">
        <f t="shared" si="7"/>
        <v>1572</v>
      </c>
      <c r="N14" s="197">
        <f t="shared" si="7"/>
        <v>3327</v>
      </c>
      <c r="O14" s="197">
        <f t="shared" si="7"/>
        <v>5220</v>
      </c>
      <c r="P14" s="197">
        <f t="shared" si="7"/>
        <v>2217</v>
      </c>
      <c r="Q14" s="197">
        <f t="shared" si="7"/>
        <v>1866</v>
      </c>
      <c r="R14" s="197">
        <f t="shared" si="7"/>
        <v>7735</v>
      </c>
      <c r="S14" s="197">
        <f t="shared" si="7"/>
        <v>4387</v>
      </c>
      <c r="T14" s="197">
        <f t="shared" si="7"/>
        <v>7125</v>
      </c>
      <c r="U14" s="197">
        <f t="shared" si="7"/>
        <v>7621</v>
      </c>
      <c r="V14" s="197">
        <f t="shared" si="7"/>
        <v>3901</v>
      </c>
      <c r="W14" s="197">
        <f t="shared" si="7"/>
        <v>1762</v>
      </c>
      <c r="X14" s="197">
        <f t="shared" si="7"/>
        <v>3248</v>
      </c>
      <c r="Y14" s="197">
        <f t="shared" si="7"/>
        <v>266</v>
      </c>
      <c r="Z14" s="197">
        <f t="shared" si="7"/>
        <v>878</v>
      </c>
      <c r="AA14" s="197">
        <f t="shared" si="7"/>
        <v>903</v>
      </c>
      <c r="AB14" s="197">
        <f t="shared" si="7"/>
        <v>236</v>
      </c>
      <c r="AC14" s="197">
        <f t="shared" si="7"/>
        <v>0</v>
      </c>
      <c r="AD14" s="197">
        <f t="shared" si="7"/>
        <v>0</v>
      </c>
      <c r="AE14" s="197">
        <f t="shared" si="7"/>
        <v>0</v>
      </c>
      <c r="AF14" s="197">
        <f>SUBTOTAL(9,AF9:AF13)</f>
        <v>0</v>
      </c>
      <c r="AG14" s="197">
        <f t="shared" ref="AG14:AT14" si="8">SUBTOTAL(9,AG8:AG13)</f>
        <v>204</v>
      </c>
      <c r="AH14" s="197">
        <f t="shared" si="8"/>
        <v>863</v>
      </c>
      <c r="AI14" s="197">
        <f t="shared" si="8"/>
        <v>809</v>
      </c>
      <c r="AJ14" s="197">
        <f t="shared" si="8"/>
        <v>266</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4591</v>
      </c>
      <c r="AZ14" s="197">
        <f>SUBTOTAL(9,AZ8:AZ13)</f>
        <v>7988</v>
      </c>
      <c r="BA14" s="197">
        <f>SUBTOTAL(9,BA8:BA13)</f>
        <v>8430</v>
      </c>
      <c r="BB14" s="197">
        <f>SUBTOTAL(9,BB8:BB13)</f>
        <v>4167</v>
      </c>
      <c r="BC14" s="197">
        <f>SUBTOTAL(9,BC8:BC13)</f>
        <v>3262</v>
      </c>
      <c r="BD14" s="219">
        <f>IF(ISNUMBER(BA14/AZ14),BA14/AZ14," - ")</f>
        <v>1.0553329994992489</v>
      </c>
      <c r="BE14" s="220">
        <f>IF(ISNUMBER(BB14/BA14),BB14/BA14, " - ")</f>
        <v>0.49430604982206405</v>
      </c>
      <c r="BF14" s="220">
        <f>IF(ISNUMBER(BC14/BA14),BC14/BA14, " - ")</f>
        <v>0.38695136417556347</v>
      </c>
      <c r="BG14" s="221">
        <f>IF(ISNUMBER((AY14+AZ14)/BA14),(AY14+AZ14)/BA14," - ")</f>
        <v>1.4921708185053382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1409</v>
      </c>
      <c r="J16" s="196">
        <v>8399</v>
      </c>
      <c r="K16" s="196">
        <v>8658</v>
      </c>
      <c r="L16" s="196">
        <v>1386</v>
      </c>
      <c r="M16" s="196">
        <v>1537</v>
      </c>
      <c r="N16" s="196">
        <v>4617</v>
      </c>
      <c r="O16" s="194">
        <v>319</v>
      </c>
      <c r="P16" s="196">
        <v>461</v>
      </c>
      <c r="Q16" s="196">
        <v>389</v>
      </c>
      <c r="R16" s="196">
        <v>313</v>
      </c>
      <c r="S16" s="196">
        <v>1582</v>
      </c>
      <c r="T16" s="196">
        <v>7882</v>
      </c>
      <c r="U16" s="196">
        <v>7916</v>
      </c>
      <c r="V16" s="196">
        <v>1409</v>
      </c>
      <c r="W16" s="196">
        <v>1458</v>
      </c>
      <c r="X16" s="202">
        <v>4063</v>
      </c>
      <c r="Y16" s="215">
        <v>0</v>
      </c>
      <c r="Z16" s="196">
        <v>0</v>
      </c>
      <c r="AA16" s="196">
        <v>0</v>
      </c>
      <c r="AB16" s="196">
        <v>0</v>
      </c>
      <c r="AC16" s="196">
        <v>0</v>
      </c>
      <c r="AD16" s="196">
        <v>101</v>
      </c>
      <c r="AE16" s="196">
        <v>101</v>
      </c>
      <c r="AF16" s="202">
        <v>0</v>
      </c>
      <c r="AG16" s="215">
        <v>0</v>
      </c>
      <c r="AH16" s="196">
        <v>0</v>
      </c>
      <c r="AI16" s="196">
        <v>0</v>
      </c>
      <c r="AJ16" s="216">
        <v>0</v>
      </c>
      <c r="AK16" s="195">
        <v>0</v>
      </c>
      <c r="AL16" s="196">
        <v>85</v>
      </c>
      <c r="AM16" s="196">
        <v>85</v>
      </c>
      <c r="AN16" s="202">
        <v>0</v>
      </c>
      <c r="AO16" s="283">
        <v>3</v>
      </c>
      <c r="AP16" s="168">
        <v>3</v>
      </c>
      <c r="AQ16" s="168">
        <v>3</v>
      </c>
      <c r="AR16" s="168">
        <v>3</v>
      </c>
      <c r="AS16" s="381" t="s">
        <v>686</v>
      </c>
      <c r="AT16" s="216" t="s">
        <v>423</v>
      </c>
      <c r="AU16" s="215"/>
      <c r="AV16" s="216"/>
      <c r="AW16" s="215"/>
      <c r="AX16" s="216"/>
      <c r="AY16" s="138">
        <f t="shared" ref="AY16:BB17" si="10">IF(ISNUMBER(IF(D_I="SI",S16,S16+AK16)),IF(D_I="SI",S16,S16+AK16)," - ")</f>
        <v>1582</v>
      </c>
      <c r="AZ16" s="139">
        <f t="shared" si="10"/>
        <v>7882</v>
      </c>
      <c r="BA16" s="139">
        <f t="shared" si="10"/>
        <v>7916</v>
      </c>
      <c r="BB16" s="139">
        <f t="shared" si="10"/>
        <v>1409</v>
      </c>
      <c r="BC16" s="135">
        <f>IF(ISNUMBER(W16),W16," - ")</f>
        <v>1458</v>
      </c>
      <c r="BD16" s="136">
        <f>IF(ISNUMBER(BA16/AZ16),BA16/AZ16," - ")</f>
        <v>1.004313625983253</v>
      </c>
      <c r="BE16" s="137">
        <f>IF(ISNUMBER(BB16/BA16),BB16/BA16, " - ")</f>
        <v>0.17799393633148056</v>
      </c>
      <c r="BF16" s="137">
        <f>IF(ISNUMBER(BC16/BA16),BC16/BA16, " - ")</f>
        <v>0.18418393127842345</v>
      </c>
      <c r="BG16" s="209">
        <f t="shared" ref="BG16:BG22" si="11">IF(ISNUMBER((AY16+AZ16)/BA16),(AY16+AZ16)/BA16," - ")</f>
        <v>1.1955533097524003</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1059</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2</v>
      </c>
      <c r="V17" s="196">
        <v>0</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643</v>
      </c>
      <c r="AT17" s="216"/>
      <c r="AU17" s="215"/>
      <c r="AV17" s="216"/>
      <c r="AW17" s="215"/>
      <c r="AX17" s="216"/>
      <c r="AY17" s="136">
        <f t="shared" si="10"/>
        <v>2</v>
      </c>
      <c r="AZ17" s="137">
        <f t="shared" si="10"/>
        <v>0</v>
      </c>
      <c r="BA17" s="137">
        <f t="shared" si="10"/>
        <v>2</v>
      </c>
      <c r="BB17" s="137">
        <f t="shared" si="10"/>
        <v>0</v>
      </c>
      <c r="BC17" s="135">
        <f>IF(ISNUMBER(W17),W17," - ")</f>
        <v>0</v>
      </c>
      <c r="BD17" s="136" t="str">
        <f t="shared" ref="BD17:BD22" si="12">IF(ISNUMBER(BA17/AZ17),BA17/AZ17," - ")</f>
        <v xml:space="preserve"> - </v>
      </c>
      <c r="BE17" s="137">
        <f t="shared" ref="BE17:BE22" si="13">IF(ISNUMBER(BB17/BA17),BB17/BA17, " - ")</f>
        <v>0</v>
      </c>
      <c r="BF17" s="137">
        <f t="shared" ref="BF17:BF22" si="14">IF(ISNUMBER(BC17/BA17),BC17/BA17, " - ")</f>
        <v>0</v>
      </c>
      <c r="BG17" s="209">
        <f t="shared" si="11"/>
        <v>1</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1029</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103</v>
      </c>
      <c r="J18" s="196">
        <v>906</v>
      </c>
      <c r="K18" s="196">
        <v>917</v>
      </c>
      <c r="L18" s="196">
        <v>92</v>
      </c>
      <c r="M18" s="196">
        <v>267</v>
      </c>
      <c r="N18" s="196">
        <v>652</v>
      </c>
      <c r="O18" s="196">
        <v>44</v>
      </c>
      <c r="P18" s="196">
        <v>53</v>
      </c>
      <c r="Q18" s="196">
        <v>40</v>
      </c>
      <c r="R18" s="196">
        <v>20</v>
      </c>
      <c r="S18" s="196">
        <v>70</v>
      </c>
      <c r="T18" s="196">
        <v>855</v>
      </c>
      <c r="U18" s="196">
        <v>822</v>
      </c>
      <c r="V18" s="196">
        <v>103</v>
      </c>
      <c r="W18" s="196">
        <v>255</v>
      </c>
      <c r="X18" s="202">
        <v>564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1048</v>
      </c>
      <c r="AT18" s="223"/>
      <c r="AU18" s="213"/>
      <c r="AV18" s="223"/>
      <c r="AW18" s="213"/>
      <c r="AX18" s="223"/>
      <c r="AY18" s="138">
        <f t="shared" ref="AY18:BB19" si="15">IF(ISNUMBER(S18),S18," - ")</f>
        <v>70</v>
      </c>
      <c r="AZ18" s="139">
        <f t="shared" si="15"/>
        <v>855</v>
      </c>
      <c r="BA18" s="139">
        <f t="shared" si="15"/>
        <v>822</v>
      </c>
      <c r="BB18" s="139">
        <f t="shared" si="15"/>
        <v>103</v>
      </c>
      <c r="BC18" s="135">
        <f>IF(ISNUMBER(W18),W18," - ")</f>
        <v>255</v>
      </c>
      <c r="BD18" s="136">
        <f>IF(ISNUMBER(BA18/AZ18),BA18/AZ18," - ")</f>
        <v>0.96140350877192982</v>
      </c>
      <c r="BE18" s="137">
        <f>IF(ISNUMBER(BB18/BA18),BB18/BA18, " - ")</f>
        <v>0.12530413625304138</v>
      </c>
      <c r="BF18" s="137">
        <f>IF(ISNUMBER(BC18/BA18),BC18/BA18, " - ")</f>
        <v>0.31021897810218979</v>
      </c>
      <c r="BG18" s="209">
        <f>IF(ISNUMBER((AY18+AZ18)/BA18),(AY18+AZ18)/BA18," - ")</f>
        <v>1.1253041362530414</v>
      </c>
      <c r="BH18" s="168">
        <v>1</v>
      </c>
      <c r="BI18" s="168"/>
      <c r="BJ18" s="213"/>
      <c r="BK18" s="167"/>
      <c r="BL18" s="167"/>
      <c r="BM18" s="167">
        <v>1800</v>
      </c>
      <c r="BN18" s="167"/>
      <c r="BO18" s="167"/>
      <c r="BP18" s="167"/>
      <c r="BQ18" s="167"/>
      <c r="BR18" s="167"/>
      <c r="BS18" s="167"/>
      <c r="BT18" s="167"/>
      <c r="BU18" s="167"/>
      <c r="BV18" s="167"/>
      <c r="BW18" s="167"/>
      <c r="BX18" s="167"/>
      <c r="BY18" s="187" t="s">
        <v>925</v>
      </c>
      <c r="BZ18" s="187" t="s">
        <v>926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1030</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1002</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532</v>
      </c>
      <c r="J21" s="196">
        <v>452</v>
      </c>
      <c r="K21" s="196">
        <v>399</v>
      </c>
      <c r="L21" s="196">
        <v>612</v>
      </c>
      <c r="M21" s="196">
        <v>369</v>
      </c>
      <c r="N21" s="196">
        <v>27</v>
      </c>
      <c r="O21" s="196">
        <v>1039</v>
      </c>
      <c r="P21" s="196">
        <v>1179</v>
      </c>
      <c r="Q21" s="196">
        <v>1511</v>
      </c>
      <c r="R21" s="196">
        <v>2091</v>
      </c>
      <c r="S21" s="196">
        <v>431</v>
      </c>
      <c r="T21" s="196">
        <v>450</v>
      </c>
      <c r="U21" s="196">
        <v>371</v>
      </c>
      <c r="V21" s="196">
        <v>532</v>
      </c>
      <c r="W21" s="196">
        <v>360</v>
      </c>
      <c r="X21" s="202">
        <v>11</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205</v>
      </c>
      <c r="AT21" s="345"/>
      <c r="AU21" s="215"/>
      <c r="AV21" s="216"/>
      <c r="AW21" s="215"/>
      <c r="AX21" s="216"/>
      <c r="AY21" s="138">
        <f t="shared" si="16"/>
        <v>431</v>
      </c>
      <c r="AZ21" s="139">
        <f t="shared" si="17"/>
        <v>450</v>
      </c>
      <c r="BA21" s="139">
        <f t="shared" si="18"/>
        <v>371</v>
      </c>
      <c r="BB21" s="139">
        <f t="shared" si="19"/>
        <v>532</v>
      </c>
      <c r="BC21" s="135">
        <f t="shared" si="20"/>
        <v>360</v>
      </c>
      <c r="BD21" s="136">
        <f t="shared" si="12"/>
        <v>0.82444444444444442</v>
      </c>
      <c r="BE21" s="137">
        <f t="shared" si="13"/>
        <v>1.4339622641509433</v>
      </c>
      <c r="BF21" s="137">
        <f t="shared" si="14"/>
        <v>0.9703504043126685</v>
      </c>
      <c r="BG21" s="209">
        <f t="shared" si="11"/>
        <v>2.3746630727762805</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1014</v>
      </c>
      <c r="EP21" s="381"/>
      <c r="EQ21" s="381"/>
      <c r="ER21" s="1341" t="s">
        <v>997</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1005</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2044</v>
      </c>
      <c r="J23" s="197">
        <f t="shared" si="21"/>
        <v>9757</v>
      </c>
      <c r="K23" s="197">
        <f t="shared" si="21"/>
        <v>9974</v>
      </c>
      <c r="L23" s="197">
        <f t="shared" si="21"/>
        <v>2090</v>
      </c>
      <c r="M23" s="197">
        <f t="shared" si="21"/>
        <v>2173</v>
      </c>
      <c r="N23" s="197">
        <f t="shared" si="21"/>
        <v>5296</v>
      </c>
      <c r="O23" s="197">
        <f t="shared" si="21"/>
        <v>1402</v>
      </c>
      <c r="P23" s="197">
        <f t="shared" si="21"/>
        <v>1693</v>
      </c>
      <c r="Q23" s="197">
        <f t="shared" si="21"/>
        <v>1940</v>
      </c>
      <c r="R23" s="197">
        <f t="shared" si="21"/>
        <v>2424</v>
      </c>
      <c r="S23" s="197">
        <f t="shared" si="21"/>
        <v>2085</v>
      </c>
      <c r="T23" s="197">
        <f t="shared" si="21"/>
        <v>9187</v>
      </c>
      <c r="U23" s="197">
        <f t="shared" si="21"/>
        <v>9111</v>
      </c>
      <c r="V23" s="197">
        <f t="shared" si="21"/>
        <v>2044</v>
      </c>
      <c r="W23" s="197">
        <f t="shared" si="21"/>
        <v>2073</v>
      </c>
      <c r="X23" s="197">
        <f t="shared" si="21"/>
        <v>4639</v>
      </c>
      <c r="Y23" s="197">
        <f t="shared" si="21"/>
        <v>0</v>
      </c>
      <c r="Z23" s="197">
        <f t="shared" si="21"/>
        <v>0</v>
      </c>
      <c r="AA23" s="197">
        <f t="shared" si="21"/>
        <v>0</v>
      </c>
      <c r="AB23" s="197">
        <f t="shared" si="21"/>
        <v>0</v>
      </c>
      <c r="AC23" s="197">
        <f t="shared" si="21"/>
        <v>0</v>
      </c>
      <c r="AD23" s="197">
        <f t="shared" si="21"/>
        <v>101</v>
      </c>
      <c r="AE23" s="197">
        <f t="shared" si="21"/>
        <v>101</v>
      </c>
      <c r="AF23" s="197">
        <f t="shared" si="21"/>
        <v>0</v>
      </c>
      <c r="AG23" s="197">
        <f t="shared" si="21"/>
        <v>0</v>
      </c>
      <c r="AH23" s="197">
        <f t="shared" si="21"/>
        <v>0</v>
      </c>
      <c r="AI23" s="197">
        <f t="shared" si="21"/>
        <v>0</v>
      </c>
      <c r="AJ23" s="197">
        <f t="shared" si="21"/>
        <v>0</v>
      </c>
      <c r="AK23" s="197">
        <f t="shared" si="21"/>
        <v>0</v>
      </c>
      <c r="AL23" s="197">
        <f t="shared" si="21"/>
        <v>85</v>
      </c>
      <c r="AM23" s="197">
        <f t="shared" si="21"/>
        <v>85</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2085</v>
      </c>
      <c r="AZ23" s="197">
        <f>SUBTOTAL(9,AZ15:AZ22)</f>
        <v>9187</v>
      </c>
      <c r="BA23" s="197">
        <f>SUBTOTAL(9,BA15:BA22)</f>
        <v>9111</v>
      </c>
      <c r="BB23" s="197">
        <f>SUBTOTAL(9,BB15:BB22)</f>
        <v>2044</v>
      </c>
      <c r="BC23" s="197">
        <f>SUBTOTAL(9,BC15:BC22)</f>
        <v>2073</v>
      </c>
      <c r="BD23" s="219">
        <f>IF(ISNUMBER(BA23/AZ23),BA23/AZ23," - ")</f>
        <v>0.99172744094916732</v>
      </c>
      <c r="BE23" s="220">
        <f>IF(ISNUMBER(BB23/BA23),BB23/BA23, " - ")</f>
        <v>0.22434419931950389</v>
      </c>
      <c r="BF23" s="220">
        <f>IF(ISNUMBER(BC23/BA23),BC23/BA23, " - ")</f>
        <v>0.22752716496542641</v>
      </c>
      <c r="BG23" s="221">
        <f>IF(ISNUMBER((AY23+AZ23)/BA23),(AY23+AZ23)/BA23," - ")</f>
        <v>1.2371858193392602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691</v>
      </c>
      <c r="O28" s="196" t="s">
        <v>296</v>
      </c>
      <c r="P28" s="196" t="s">
        <v>1134</v>
      </c>
      <c r="Q28" s="196" t="s">
        <v>1135</v>
      </c>
      <c r="R28" s="196" t="s">
        <v>1136</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993</v>
      </c>
      <c r="EP28" s="1336"/>
      <c r="EQ28" s="1336"/>
      <c r="ER28" s="1341" t="s">
        <v>996</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692</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1017</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5945</v>
      </c>
      <c r="J31" s="144">
        <f t="shared" si="36"/>
        <v>18320</v>
      </c>
      <c r="K31" s="144">
        <f t="shared" si="36"/>
        <v>17956</v>
      </c>
      <c r="L31" s="144">
        <f t="shared" si="36"/>
        <v>6527</v>
      </c>
      <c r="M31" s="144">
        <f t="shared" si="36"/>
        <v>3745</v>
      </c>
      <c r="N31" s="144">
        <f t="shared" si="36"/>
        <v>8623</v>
      </c>
      <c r="O31" s="144">
        <f t="shared" si="36"/>
        <v>6622</v>
      </c>
      <c r="P31" s="144">
        <f t="shared" si="36"/>
        <v>3910</v>
      </c>
      <c r="Q31" s="144">
        <f t="shared" si="36"/>
        <v>3806</v>
      </c>
      <c r="R31" s="144">
        <f t="shared" si="36"/>
        <v>10159</v>
      </c>
      <c r="S31" s="144">
        <f t="shared" si="36"/>
        <v>6472</v>
      </c>
      <c r="T31" s="144">
        <f t="shared" si="36"/>
        <v>16312</v>
      </c>
      <c r="U31" s="144">
        <f t="shared" si="36"/>
        <v>16732</v>
      </c>
      <c r="V31" s="144">
        <f t="shared" si="36"/>
        <v>5945</v>
      </c>
      <c r="W31" s="144">
        <f t="shared" si="36"/>
        <v>3835</v>
      </c>
      <c r="X31" s="144">
        <f t="shared" si="36"/>
        <v>7887</v>
      </c>
      <c r="Y31" s="144">
        <f t="shared" si="36"/>
        <v>266</v>
      </c>
      <c r="Z31" s="144">
        <f t="shared" si="36"/>
        <v>878</v>
      </c>
      <c r="AA31" s="144">
        <f t="shared" si="36"/>
        <v>903</v>
      </c>
      <c r="AB31" s="144">
        <f t="shared" si="36"/>
        <v>236</v>
      </c>
      <c r="AC31" s="144">
        <f t="shared" si="36"/>
        <v>0</v>
      </c>
      <c r="AD31" s="144">
        <f t="shared" si="36"/>
        <v>101</v>
      </c>
      <c r="AE31" s="144">
        <f t="shared" si="36"/>
        <v>101</v>
      </c>
      <c r="AF31" s="144">
        <f t="shared" si="36"/>
        <v>0</v>
      </c>
      <c r="AG31" s="144">
        <f t="shared" si="36"/>
        <v>204</v>
      </c>
      <c r="AH31" s="144">
        <f t="shared" si="36"/>
        <v>863</v>
      </c>
      <c r="AI31" s="144">
        <f t="shared" si="36"/>
        <v>809</v>
      </c>
      <c r="AJ31" s="144">
        <f t="shared" si="36"/>
        <v>266</v>
      </c>
      <c r="AK31" s="144">
        <f t="shared" si="36"/>
        <v>0</v>
      </c>
      <c r="AL31" s="144">
        <f t="shared" si="36"/>
        <v>85</v>
      </c>
      <c r="AM31" s="144">
        <f t="shared" si="36"/>
        <v>85</v>
      </c>
      <c r="AN31" s="224">
        <f t="shared" si="36"/>
        <v>0</v>
      </c>
      <c r="AO31" s="225">
        <v>11</v>
      </c>
      <c r="AP31" s="225">
        <v>11</v>
      </c>
      <c r="AQ31" s="225">
        <v>11</v>
      </c>
      <c r="AR31" s="225">
        <v>11</v>
      </c>
      <c r="AS31" s="166">
        <f t="shared" si="36"/>
        <v>0</v>
      </c>
      <c r="AT31" s="166">
        <f t="shared" si="36"/>
        <v>0</v>
      </c>
      <c r="AU31" s="225"/>
      <c r="AV31" s="226"/>
      <c r="AW31" s="225"/>
      <c r="AX31" s="226"/>
      <c r="AY31" s="143">
        <f>SUBTOTAL(9,AY9:AY30)</f>
        <v>6676</v>
      </c>
      <c r="AZ31" s="144">
        <f>SUBTOTAL(9,AZ9:AZ30)</f>
        <v>17175</v>
      </c>
      <c r="BA31" s="144">
        <f>SUBTOTAL(9,BA9:BA30)</f>
        <v>17541</v>
      </c>
      <c r="BB31" s="144">
        <f>SUBTOTAL(9,BB9:BB30)</f>
        <v>6211</v>
      </c>
      <c r="BC31" s="145">
        <f>SUBTOTAL(9,BC9:BC30)</f>
        <v>5335</v>
      </c>
      <c r="BD31" s="227">
        <f>IF(ISNUMBER(BA31/AZ31),BA31/AZ31," - ")</f>
        <v>1.0213100436681222</v>
      </c>
      <c r="BE31" s="224">
        <f>IF(ISNUMBER(BB31/BA31),BB31/BA31, " - ")</f>
        <v>0.35408471580867684</v>
      </c>
      <c r="BF31" s="224">
        <f>IF(ISNUMBER(BC31/BA31),BC31/BA31, " - ")</f>
        <v>0.30414457556581725</v>
      </c>
      <c r="BG31" s="145">
        <f>IF(ISNUMBER((AY31+AZ31)/BA31),(AY31+AZ31)/BA31," - ")</f>
        <v>1.3597286357676301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2Ln/6rfnQ7NLMfprCvA7DZbR8OgunbL1UNKUy54hGuVwEn8P/GYF+JN2ny4h9mBabtlBTpM616nApQUqdyVxA==" saltValue="HgTL3JHjPDmo33vyUoH2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635</v>
      </c>
      <c r="DL5" s="1774" t="s">
        <v>638</v>
      </c>
      <c r="DM5" s="1777" t="s">
        <v>697</v>
      </c>
      <c r="DN5" s="1777" t="s">
        <v>698</v>
      </c>
      <c r="DO5" s="1777" t="s">
        <v>699</v>
      </c>
      <c r="DP5" s="1777" t="s">
        <v>700</v>
      </c>
      <c r="DQ5" s="1777" t="s">
        <v>701</v>
      </c>
      <c r="DR5" s="1777" t="s">
        <v>702</v>
      </c>
      <c r="DS5" s="1777" t="s">
        <v>703</v>
      </c>
      <c r="DT5" s="1777" t="s">
        <v>704</v>
      </c>
      <c r="DU5" s="1756" t="s">
        <v>705</v>
      </c>
      <c r="DV5" s="1756" t="s">
        <v>706</v>
      </c>
      <c r="DW5" s="1753" t="s">
        <v>707</v>
      </c>
      <c r="DX5" s="1777" t="s">
        <v>708</v>
      </c>
      <c r="DY5" s="1750" t="s">
        <v>709</v>
      </c>
      <c r="DZ5" s="1753" t="s">
        <v>710</v>
      </c>
      <c r="EA5" s="1750" t="s">
        <v>711</v>
      </c>
      <c r="EB5" s="1784" t="s">
        <v>771</v>
      </c>
      <c r="EC5" s="1784" t="s">
        <v>808</v>
      </c>
      <c r="ED5" s="1784" t="s">
        <v>773</v>
      </c>
      <c r="EE5" s="1784" t="s">
        <v>813</v>
      </c>
      <c r="EF5" s="1784" t="s">
        <v>814</v>
      </c>
      <c r="EG5" s="1750" t="s">
        <v>815</v>
      </c>
      <c r="EH5" s="1750" t="s">
        <v>816</v>
      </c>
      <c r="EI5" s="1750" t="s">
        <v>775</v>
      </c>
      <c r="EJ5" s="1750" t="s">
        <v>776</v>
      </c>
      <c r="EK5" s="1879" t="s">
        <v>864</v>
      </c>
      <c r="EL5" s="1768" t="s">
        <v>882</v>
      </c>
      <c r="EM5" s="1769"/>
      <c r="EN5" s="1770"/>
      <c r="EO5" s="1762" t="s">
        <v>982</v>
      </c>
      <c r="EP5" s="1762" t="s">
        <v>984</v>
      </c>
      <c r="EQ5" s="1762" t="s">
        <v>985</v>
      </c>
      <c r="ER5" s="1762" t="s">
        <v>990</v>
      </c>
      <c r="ES5" s="1762" t="s">
        <v>1000</v>
      </c>
      <c r="ET5" s="1759" t="s">
        <v>1088</v>
      </c>
      <c r="EU5" s="1759" t="s">
        <v>1089</v>
      </c>
      <c r="EV5" s="1790" t="s">
        <v>1110</v>
      </c>
      <c r="EW5" s="1750" t="s">
        <v>1113</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981</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883</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636</v>
      </c>
      <c r="DL8" s="532" t="s">
        <v>637</v>
      </c>
      <c r="DM8" s="532" t="s">
        <v>712</v>
      </c>
      <c r="DN8" s="532" t="s">
        <v>713</v>
      </c>
      <c r="DO8" s="532" t="s">
        <v>714</v>
      </c>
      <c r="DP8" s="532" t="s">
        <v>715</v>
      </c>
      <c r="DQ8" s="532" t="s">
        <v>716</v>
      </c>
      <c r="DR8" s="532" t="s">
        <v>717</v>
      </c>
      <c r="DS8" s="532" t="s">
        <v>718</v>
      </c>
      <c r="DT8" s="532" t="s">
        <v>719</v>
      </c>
      <c r="DU8" s="532"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532" t="s">
        <v>884</v>
      </c>
      <c r="EM8" s="532" t="s">
        <v>885</v>
      </c>
      <c r="EN8" s="532" t="s">
        <v>886</v>
      </c>
      <c r="EO8" s="53" t="s">
        <v>983</v>
      </c>
      <c r="EP8" s="53" t="s">
        <v>988</v>
      </c>
      <c r="EQ8" s="53" t="s">
        <v>989</v>
      </c>
      <c r="ER8" s="532">
        <v>148</v>
      </c>
      <c r="ES8" s="532" t="s">
        <v>1001</v>
      </c>
      <c r="ET8" s="1519" t="s">
        <v>1090</v>
      </c>
      <c r="EU8" s="1519" t="s">
        <v>1091</v>
      </c>
      <c r="EV8" s="1519" t="s">
        <v>1099</v>
      </c>
      <c r="EW8" s="532" t="s">
        <v>1112</v>
      </c>
      <c r="EX8" s="532" t="s">
        <v>1152</v>
      </c>
      <c r="EY8" s="532" t="s">
        <v>1166</v>
      </c>
    </row>
    <row r="9" spans="1:155" s="788" customFormat="1" ht="14.25" customHeight="1">
      <c r="A9" s="823" t="s">
        <v>72</v>
      </c>
      <c r="B9" s="770" t="s">
        <v>518</v>
      </c>
      <c r="C9" s="771" t="s">
        <v>8</v>
      </c>
      <c r="D9" s="772" t="s">
        <v>25</v>
      </c>
      <c r="E9" s="770" t="s">
        <v>26</v>
      </c>
      <c r="F9" s="770">
        <v>32</v>
      </c>
      <c r="G9" s="773"/>
      <c r="H9" s="824" t="s">
        <v>319</v>
      </c>
      <c r="I9" s="825" t="s">
        <v>1156</v>
      </c>
      <c r="J9" s="775" t="s">
        <v>1158</v>
      </c>
      <c r="K9" s="775" t="s">
        <v>1160</v>
      </c>
      <c r="L9" s="775" t="s">
        <v>1162</v>
      </c>
      <c r="M9" s="775" t="s">
        <v>1164</v>
      </c>
      <c r="N9" s="775" t="s">
        <v>1165</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1060</v>
      </c>
      <c r="AT9" s="832"/>
      <c r="AU9" s="831" t="s">
        <v>1072</v>
      </c>
      <c r="AV9" s="832"/>
      <c r="AW9" s="831" t="s">
        <v>1075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653</v>
      </c>
      <c r="BW9" s="530" t="s">
        <v>388</v>
      </c>
      <c r="BX9" s="530" t="s">
        <v>389</v>
      </c>
      <c r="BY9" s="530" t="s">
        <v>1130</v>
      </c>
      <c r="BZ9" s="530" t="s">
        <v>640</v>
      </c>
      <c r="CA9" s="530" t="s">
        <v>532</v>
      </c>
      <c r="CB9" s="530" t="s">
        <v>533</v>
      </c>
      <c r="CC9" s="530" t="s">
        <v>534</v>
      </c>
      <c r="CD9" s="530" t="s">
        <v>535</v>
      </c>
      <c r="CE9" s="530"/>
      <c r="CF9" s="530"/>
      <c r="CG9" s="530"/>
      <c r="CH9" s="530"/>
      <c r="CI9" s="530" t="s">
        <v>663</v>
      </c>
      <c r="CJ9" s="530" t="s">
        <v>536</v>
      </c>
      <c r="CK9" s="530" t="s">
        <v>647</v>
      </c>
      <c r="CL9" s="530" t="s">
        <v>649</v>
      </c>
      <c r="CM9" s="530" t="s">
        <v>651</v>
      </c>
      <c r="CN9" s="530">
        <v>1088</v>
      </c>
      <c r="CO9" s="530">
        <v>720</v>
      </c>
      <c r="CP9" s="530">
        <v>1088</v>
      </c>
      <c r="CQ9" s="836" t="s">
        <v>1140</v>
      </c>
      <c r="CR9" s="836" t="s">
        <v>641</v>
      </c>
      <c r="CS9" s="530"/>
      <c r="CT9" s="530"/>
      <c r="CU9" s="530"/>
      <c r="CV9" s="530" t="s">
        <v>658</v>
      </c>
      <c r="CW9" s="530" t="s">
        <v>531</v>
      </c>
      <c r="CX9" s="530" t="s">
        <v>453</v>
      </c>
      <c r="CY9" s="530" t="s">
        <v>575</v>
      </c>
      <c r="CZ9" s="530" t="s">
        <v>576</v>
      </c>
      <c r="DA9" s="530" t="s">
        <v>577</v>
      </c>
      <c r="DB9" s="831" t="s">
        <v>1061</v>
      </c>
      <c r="DC9" s="831" t="s">
        <v>1062</v>
      </c>
      <c r="DD9" s="530"/>
      <c r="DE9" s="530" t="s">
        <v>310</v>
      </c>
      <c r="DF9" s="530"/>
      <c r="DG9" s="530" t="s">
        <v>588</v>
      </c>
      <c r="DH9" s="530" t="s">
        <v>655</v>
      </c>
      <c r="DI9" s="530" t="s">
        <v>656</v>
      </c>
      <c r="DJ9" s="530" t="s">
        <v>657</v>
      </c>
      <c r="DK9" s="530"/>
      <c r="DL9" s="530"/>
      <c r="DM9" s="530"/>
      <c r="DN9" s="530"/>
      <c r="DO9" s="530"/>
      <c r="DP9" s="530"/>
      <c r="DQ9" s="530"/>
      <c r="DR9" s="530"/>
      <c r="DS9" s="530"/>
      <c r="DT9" s="530"/>
      <c r="DU9" s="530" t="s">
        <v>871</v>
      </c>
      <c r="DV9" s="530" t="s">
        <v>866</v>
      </c>
      <c r="DW9" s="530" t="s">
        <v>867</v>
      </c>
      <c r="DX9" s="530" t="s">
        <v>868</v>
      </c>
      <c r="DY9" s="530" t="s">
        <v>869</v>
      </c>
      <c r="DZ9" s="530"/>
      <c r="EA9" s="530"/>
      <c r="EB9" s="530"/>
      <c r="EC9" s="530"/>
      <c r="ED9" s="530"/>
      <c r="EE9" s="530"/>
      <c r="EF9" s="530"/>
      <c r="EG9" s="530"/>
      <c r="EH9" s="530"/>
      <c r="EI9" s="530"/>
      <c r="EJ9" s="530"/>
      <c r="EK9" s="530"/>
      <c r="EL9" s="836" t="s">
        <v>1052</v>
      </c>
      <c r="EM9" s="836" t="s">
        <v>1053</v>
      </c>
      <c r="EN9" s="530" t="s">
        <v>1051</v>
      </c>
      <c r="EO9" s="1318" t="s">
        <v>1125</v>
      </c>
      <c r="EP9" s="1318" t="s">
        <v>1147</v>
      </c>
      <c r="EQ9" s="1318" t="s">
        <v>1148</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679</v>
      </c>
      <c r="J10" s="194" t="s">
        <v>677</v>
      </c>
      <c r="K10" s="194" t="s">
        <v>678</v>
      </c>
      <c r="L10" s="194" t="s">
        <v>683</v>
      </c>
      <c r="M10" s="60" t="s">
        <v>670</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1008</v>
      </c>
      <c r="AT10" s="66"/>
      <c r="AU10" s="161" t="s">
        <v>1009</v>
      </c>
      <c r="AV10" s="66"/>
      <c r="AW10" s="161" t="s">
        <v>1010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1011</v>
      </c>
      <c r="BZ10" s="167"/>
      <c r="CA10" s="167"/>
      <c r="CB10" s="167"/>
      <c r="CC10" s="167"/>
      <c r="CD10" s="167"/>
      <c r="CE10" s="167"/>
      <c r="CF10" s="167"/>
      <c r="CG10" s="167"/>
      <c r="CH10" s="167"/>
      <c r="CI10" s="167" t="s">
        <v>665</v>
      </c>
      <c r="CJ10" s="167" t="s">
        <v>385</v>
      </c>
      <c r="CK10" s="167" t="s">
        <v>605</v>
      </c>
      <c r="CL10" s="167" t="s">
        <v>606</v>
      </c>
      <c r="CM10" s="167" t="s">
        <v>607</v>
      </c>
      <c r="CN10" s="167">
        <v>1175</v>
      </c>
      <c r="CO10" s="167">
        <v>0</v>
      </c>
      <c r="CP10" s="315" t="s">
        <v>538</v>
      </c>
      <c r="CQ10" s="167" t="s">
        <v>1012</v>
      </c>
      <c r="CR10" s="167"/>
      <c r="CS10" s="167"/>
      <c r="CT10" s="169"/>
      <c r="CU10" s="169"/>
      <c r="CV10" s="169" t="s">
        <v>406</v>
      </c>
      <c r="CW10" s="169" t="s">
        <v>445</v>
      </c>
      <c r="CX10" s="169" t="s">
        <v>448</v>
      </c>
      <c r="CY10" s="169" t="s">
        <v>666</v>
      </c>
      <c r="CZ10" s="169" t="s">
        <v>667</v>
      </c>
      <c r="DA10" s="169" t="s">
        <v>668</v>
      </c>
      <c r="DB10" s="355" t="s">
        <v>680</v>
      </c>
      <c r="DC10" s="354"/>
      <c r="DD10" s="169"/>
      <c r="DE10" s="169" t="s">
        <v>311</v>
      </c>
      <c r="DF10" s="169"/>
      <c r="DG10" s="169" t="s">
        <v>669</v>
      </c>
      <c r="DH10" s="167" t="s">
        <v>553</v>
      </c>
      <c r="DI10" s="167" t="s">
        <v>551</v>
      </c>
      <c r="DJ10" s="167" t="s">
        <v>552</v>
      </c>
      <c r="DK10" s="167"/>
      <c r="DL10" s="167"/>
      <c r="DM10" s="315"/>
      <c r="DN10" s="315"/>
      <c r="DO10" s="315"/>
      <c r="DP10" s="315"/>
      <c r="DQ10" s="315"/>
      <c r="DR10" s="315"/>
      <c r="DS10" s="315"/>
      <c r="DT10" s="315"/>
      <c r="DU10" s="168" t="s">
        <v>793</v>
      </c>
      <c r="DV10" s="315" t="s">
        <v>920</v>
      </c>
      <c r="DW10" s="315" t="s">
        <v>917</v>
      </c>
      <c r="DX10" s="315" t="s">
        <v>918</v>
      </c>
      <c r="DY10" s="315" t="s">
        <v>919</v>
      </c>
      <c r="DZ10" s="315"/>
      <c r="EA10" s="315"/>
      <c r="EB10" s="315"/>
      <c r="EC10" s="315"/>
      <c r="ED10" s="315"/>
      <c r="EE10" s="315"/>
      <c r="EF10" s="315"/>
      <c r="EG10" s="315"/>
      <c r="EH10" s="315"/>
      <c r="EI10" s="315"/>
      <c r="EJ10" s="315"/>
      <c r="EK10" s="315"/>
      <c r="EL10" s="315"/>
      <c r="EM10" s="315"/>
      <c r="EN10" s="315"/>
      <c r="EO10" s="355" t="s">
        <v>1023</v>
      </c>
      <c r="EP10" s="355" t="s">
        <v>1024</v>
      </c>
      <c r="EQ10" s="355" t="s">
        <v>1025</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1068</v>
      </c>
      <c r="J11" s="350" t="s">
        <v>1063</v>
      </c>
      <c r="K11" s="350" t="s">
        <v>1133</v>
      </c>
      <c r="L11" s="350" t="s">
        <v>1076</v>
      </c>
      <c r="M11" s="350" t="s">
        <v>645</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1064</v>
      </c>
      <c r="AT11" s="778"/>
      <c r="AU11" s="777" t="s">
        <v>1073</v>
      </c>
      <c r="AV11" s="778"/>
      <c r="AW11" s="777" t="s">
        <v>1077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652</v>
      </c>
      <c r="BW11" s="530" t="s">
        <v>330</v>
      </c>
      <c r="BX11" s="530" t="s">
        <v>331</v>
      </c>
      <c r="BY11" s="790" t="s">
        <v>1142</v>
      </c>
      <c r="BZ11" s="530" t="s">
        <v>980</v>
      </c>
      <c r="CA11" s="530" t="s">
        <v>366</v>
      </c>
      <c r="CB11" s="530" t="s">
        <v>361</v>
      </c>
      <c r="CC11" s="530" t="s">
        <v>362</v>
      </c>
      <c r="CD11" s="530" t="s">
        <v>363</v>
      </c>
      <c r="CE11" s="790"/>
      <c r="CF11" s="790"/>
      <c r="CG11" s="790"/>
      <c r="CH11" s="790"/>
      <c r="CI11" s="790" t="s">
        <v>642</v>
      </c>
      <c r="CJ11" s="790" t="s">
        <v>379</v>
      </c>
      <c r="CK11" s="530" t="s">
        <v>646</v>
      </c>
      <c r="CL11" s="530" t="s">
        <v>648</v>
      </c>
      <c r="CM11" s="530" t="s">
        <v>650</v>
      </c>
      <c r="CN11" s="530">
        <v>1088</v>
      </c>
      <c r="CO11" s="790">
        <v>1000</v>
      </c>
      <c r="CP11" s="530">
        <v>1088</v>
      </c>
      <c r="CQ11" s="530" t="s">
        <v>1144</v>
      </c>
      <c r="CR11" s="530" t="s">
        <v>1143</v>
      </c>
      <c r="CS11" s="790"/>
      <c r="CT11" s="530"/>
      <c r="CU11" s="530"/>
      <c r="CV11" s="530" t="s">
        <v>658</v>
      </c>
      <c r="CW11" s="530" t="s">
        <v>438</v>
      </c>
      <c r="CX11" s="530" t="s">
        <v>453</v>
      </c>
      <c r="CY11" s="530" t="s">
        <v>575</v>
      </c>
      <c r="CZ11" s="530" t="s">
        <v>576</v>
      </c>
      <c r="DA11" s="530" t="s">
        <v>577</v>
      </c>
      <c r="DB11" s="363" t="s">
        <v>1065</v>
      </c>
      <c r="DC11" s="363" t="s">
        <v>1066</v>
      </c>
      <c r="DD11" s="530"/>
      <c r="DE11" s="530" t="s">
        <v>312</v>
      </c>
      <c r="DF11" s="530"/>
      <c r="DG11" s="530" t="s">
        <v>588</v>
      </c>
      <c r="DH11" s="530" t="s">
        <v>655</v>
      </c>
      <c r="DI11" s="530" t="s">
        <v>656</v>
      </c>
      <c r="DJ11" s="530" t="s">
        <v>657</v>
      </c>
      <c r="DK11" s="530"/>
      <c r="DL11" s="530"/>
      <c r="DM11" s="836"/>
      <c r="DN11" s="836"/>
      <c r="DO11" s="836"/>
      <c r="DP11" s="836"/>
      <c r="DQ11" s="836"/>
      <c r="DR11" s="836"/>
      <c r="DS11" s="836"/>
      <c r="DT11" s="836"/>
      <c r="DU11" s="836" t="s">
        <v>871</v>
      </c>
      <c r="DV11" s="836" t="s">
        <v>866</v>
      </c>
      <c r="DW11" s="836" t="s">
        <v>867</v>
      </c>
      <c r="DX11" s="836" t="s">
        <v>868</v>
      </c>
      <c r="DY11" s="836" t="s">
        <v>869</v>
      </c>
      <c r="DZ11" s="836"/>
      <c r="EA11" s="836"/>
      <c r="EB11" s="836"/>
      <c r="EC11" s="836"/>
      <c r="ED11" s="836"/>
      <c r="EE11" s="836"/>
      <c r="EF11" s="836"/>
      <c r="EG11" s="836"/>
      <c r="EH11" s="836"/>
      <c r="EI11" s="836"/>
      <c r="EJ11" s="836"/>
      <c r="EK11" s="836"/>
      <c r="EL11" s="836"/>
      <c r="EM11" s="836"/>
      <c r="EN11" s="836"/>
      <c r="EO11" s="1364" t="s">
        <v>1128</v>
      </c>
      <c r="EP11" s="1364" t="s">
        <v>1145</v>
      </c>
      <c r="EQ11" s="1364" t="s">
        <v>1146</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1157</v>
      </c>
      <c r="J12" s="350" t="s">
        <v>1159</v>
      </c>
      <c r="K12" s="350" t="s">
        <v>1161</v>
      </c>
      <c r="L12" s="350" t="s">
        <v>1163</v>
      </c>
      <c r="M12" s="350" t="s">
        <v>1155</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1080</v>
      </c>
      <c r="AT12" s="778"/>
      <c r="AU12" s="777" t="s">
        <v>1070</v>
      </c>
      <c r="AV12" s="778"/>
      <c r="AW12" s="777" t="s">
        <v>1078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654</v>
      </c>
      <c r="BW12" s="530" t="s">
        <v>498</v>
      </c>
      <c r="BX12" s="530" t="s">
        <v>499</v>
      </c>
      <c r="BY12" s="790" t="s">
        <v>1129</v>
      </c>
      <c r="BZ12" s="530"/>
      <c r="CA12" s="530" t="s">
        <v>366</v>
      </c>
      <c r="CB12" s="530" t="s">
        <v>361</v>
      </c>
      <c r="CC12" s="530" t="s">
        <v>362</v>
      </c>
      <c r="CD12" s="530" t="s">
        <v>363</v>
      </c>
      <c r="CE12" s="790"/>
      <c r="CF12" s="790"/>
      <c r="CG12" s="790"/>
      <c r="CH12" s="790"/>
      <c r="CI12" s="790" t="s">
        <v>642</v>
      </c>
      <c r="CJ12" s="790" t="s">
        <v>379</v>
      </c>
      <c r="CK12" s="530" t="s">
        <v>647</v>
      </c>
      <c r="CL12" s="530" t="s">
        <v>649</v>
      </c>
      <c r="CM12" s="530" t="s">
        <v>651</v>
      </c>
      <c r="CN12" s="836" t="s">
        <v>434</v>
      </c>
      <c r="CO12" s="790">
        <v>2880</v>
      </c>
      <c r="CP12" s="836" t="s">
        <v>392</v>
      </c>
      <c r="CQ12" s="836" t="s">
        <v>1141</v>
      </c>
      <c r="CR12" s="836"/>
      <c r="CS12" s="790"/>
      <c r="CT12" s="530"/>
      <c r="CU12" s="530"/>
      <c r="CV12" s="530" t="s">
        <v>658</v>
      </c>
      <c r="CW12" s="530" t="s">
        <v>438</v>
      </c>
      <c r="CX12" s="530" t="s">
        <v>453</v>
      </c>
      <c r="CY12" s="530" t="s">
        <v>575</v>
      </c>
      <c r="CZ12" s="530" t="s">
        <v>576</v>
      </c>
      <c r="DA12" s="530" t="s">
        <v>577</v>
      </c>
      <c r="DB12" s="831" t="s">
        <v>1081</v>
      </c>
      <c r="DC12" s="831" t="s">
        <v>1082</v>
      </c>
      <c r="DD12" s="530"/>
      <c r="DE12" s="530" t="s">
        <v>313</v>
      </c>
      <c r="DF12" s="530"/>
      <c r="DG12" s="530" t="s">
        <v>588</v>
      </c>
      <c r="DH12" s="530" t="s">
        <v>655</v>
      </c>
      <c r="DI12" s="530" t="s">
        <v>656</v>
      </c>
      <c r="DJ12" s="530" t="s">
        <v>657</v>
      </c>
      <c r="DK12" s="530"/>
      <c r="DL12" s="530"/>
      <c r="DM12" s="836"/>
      <c r="DN12" s="836"/>
      <c r="DO12" s="836"/>
      <c r="DP12" s="836"/>
      <c r="DQ12" s="836"/>
      <c r="DR12" s="836"/>
      <c r="DS12" s="836"/>
      <c r="DT12" s="836"/>
      <c r="DU12" s="836" t="s">
        <v>871</v>
      </c>
      <c r="DV12" s="836" t="s">
        <v>866</v>
      </c>
      <c r="DW12" s="836" t="s">
        <v>867</v>
      </c>
      <c r="DX12" s="836" t="s">
        <v>868</v>
      </c>
      <c r="DY12" s="836" t="s">
        <v>869</v>
      </c>
      <c r="DZ12" s="836"/>
      <c r="EA12" s="836"/>
      <c r="EB12" s="836"/>
      <c r="EC12" s="836"/>
      <c r="ED12" s="836"/>
      <c r="EE12" s="836"/>
      <c r="EF12" s="836"/>
      <c r="EG12" s="836"/>
      <c r="EH12" s="836"/>
      <c r="EI12" s="836"/>
      <c r="EJ12" s="836"/>
      <c r="EK12" s="836"/>
      <c r="EL12" s="836" t="s">
        <v>1052</v>
      </c>
      <c r="EM12" s="836" t="s">
        <v>1053</v>
      </c>
      <c r="EN12" s="530" t="s">
        <v>1051</v>
      </c>
      <c r="EO12" s="1318" t="s">
        <v>1127</v>
      </c>
      <c r="EP12" s="1318" t="s">
        <v>1149</v>
      </c>
      <c r="EQ12" s="1318" t="s">
        <v>1150</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661</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673</v>
      </c>
      <c r="J16" s="350" t="s">
        <v>1031</v>
      </c>
      <c r="K16" s="350" t="s">
        <v>1039</v>
      </c>
      <c r="L16" s="350" t="s">
        <v>1044</v>
      </c>
      <c r="M16" s="350" t="s">
        <v>672</v>
      </c>
      <c r="N16" s="350" t="s">
        <v>421</v>
      </c>
      <c r="O16" s="775" t="s">
        <v>422</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979</v>
      </c>
      <c r="AT16" s="778" t="s">
        <v>931</v>
      </c>
      <c r="AU16" s="777" t="s">
        <v>684</v>
      </c>
      <c r="AV16" s="778" t="s">
        <v>932</v>
      </c>
      <c r="AW16" s="777" t="s">
        <v>685</v>
      </c>
      <c r="AX16" s="778" t="s">
        <v>933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1013</v>
      </c>
      <c r="BZ16" s="787" t="s">
        <v>1118</v>
      </c>
      <c r="CA16" s="786"/>
      <c r="CB16" s="786"/>
      <c r="CC16" s="786"/>
      <c r="CD16" s="786"/>
      <c r="CE16" s="786"/>
      <c r="CF16" s="786"/>
      <c r="CG16" s="786"/>
      <c r="CH16" s="786"/>
      <c r="CI16" s="786" t="s">
        <v>644</v>
      </c>
      <c r="CJ16" s="786" t="s">
        <v>513</v>
      </c>
      <c r="CK16" s="786" t="s">
        <v>611</v>
      </c>
      <c r="CL16" s="786" t="s">
        <v>612</v>
      </c>
      <c r="CM16" s="786" t="s">
        <v>613</v>
      </c>
      <c r="CN16" s="786">
        <v>1262</v>
      </c>
      <c r="CO16" s="786">
        <v>6600</v>
      </c>
      <c r="CP16" s="786">
        <v>1262</v>
      </c>
      <c r="CQ16" s="787" t="s">
        <v>674</v>
      </c>
      <c r="CR16" s="787" t="s">
        <v>1119</v>
      </c>
      <c r="CS16" s="786" t="s">
        <v>503</v>
      </c>
      <c r="CT16" s="530"/>
      <c r="CU16" s="530"/>
      <c r="CV16" s="530" t="s">
        <v>488</v>
      </c>
      <c r="CW16" s="530" t="s">
        <v>439</v>
      </c>
      <c r="CX16" s="530" t="s">
        <v>220</v>
      </c>
      <c r="CY16" s="530"/>
      <c r="CZ16" s="530"/>
      <c r="DA16" s="530"/>
      <c r="DB16" s="363" t="s">
        <v>1032</v>
      </c>
      <c r="DC16" s="363" t="s">
        <v>1033</v>
      </c>
      <c r="DD16" s="530"/>
      <c r="DE16" s="530" t="s">
        <v>682</v>
      </c>
      <c r="DF16" s="530" t="s">
        <v>530</v>
      </c>
      <c r="DG16" s="530"/>
      <c r="DH16" s="786" t="s">
        <v>548</v>
      </c>
      <c r="DI16" s="786" t="s">
        <v>549</v>
      </c>
      <c r="DJ16" s="786" t="s">
        <v>550</v>
      </c>
      <c r="DK16" s="786"/>
      <c r="DL16" s="786"/>
      <c r="DM16" s="786"/>
      <c r="DN16" s="786"/>
      <c r="DO16" s="786"/>
      <c r="DP16" s="786"/>
      <c r="DQ16" s="786"/>
      <c r="DR16" s="786"/>
      <c r="DS16" s="786"/>
      <c r="DT16" s="786"/>
      <c r="DU16" s="786" t="s">
        <v>792</v>
      </c>
      <c r="DV16" s="786"/>
      <c r="DW16" s="786"/>
      <c r="DX16" s="786"/>
      <c r="DY16" s="786"/>
      <c r="DZ16" s="786"/>
      <c r="EA16" s="786"/>
      <c r="EB16" s="786" t="s">
        <v>977</v>
      </c>
      <c r="EC16" s="786" t="s">
        <v>805</v>
      </c>
      <c r="ED16" s="786"/>
      <c r="EE16" s="786">
        <v>6000</v>
      </c>
      <c r="EF16" s="786">
        <v>650</v>
      </c>
      <c r="EG16" s="786"/>
      <c r="EH16" s="786"/>
      <c r="EI16" s="786" t="s">
        <v>806</v>
      </c>
      <c r="EJ16" s="786"/>
      <c r="EK16" s="786"/>
      <c r="EL16" s="786"/>
      <c r="EM16" s="786"/>
      <c r="EN16" s="786"/>
      <c r="EO16" s="1317" t="s">
        <v>1067</v>
      </c>
      <c r="EP16" s="1317" t="s">
        <v>1071</v>
      </c>
      <c r="EQ16" s="1317" t="s">
        <v>1079</v>
      </c>
      <c r="ER16" s="1341" t="s">
        <v>1022</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673</v>
      </c>
      <c r="J17" s="26" t="s">
        <v>1034</v>
      </c>
      <c r="K17" s="26" t="s">
        <v>1040</v>
      </c>
      <c r="L17" s="26" t="s">
        <v>1045</v>
      </c>
      <c r="M17" s="26" t="s">
        <v>672</v>
      </c>
      <c r="N17" s="26" t="s">
        <v>200</v>
      </c>
      <c r="O17" s="60" t="s">
        <v>287</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1035</v>
      </c>
      <c r="AT17" s="27"/>
      <c r="AU17" s="52" t="s">
        <v>1041</v>
      </c>
      <c r="AV17" s="27"/>
      <c r="AW17" s="52" t="s">
        <v>1046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689</v>
      </c>
      <c r="BZ17" s="170"/>
      <c r="CA17" s="170"/>
      <c r="CB17" s="170"/>
      <c r="CC17" s="170"/>
      <c r="CD17" s="170"/>
      <c r="CE17" s="170"/>
      <c r="CF17" s="170"/>
      <c r="CG17" s="170"/>
      <c r="CH17" s="170"/>
      <c r="CI17" s="170" t="s">
        <v>644</v>
      </c>
      <c r="CJ17" s="170" t="s">
        <v>513</v>
      </c>
      <c r="CK17" s="168" t="s">
        <v>611</v>
      </c>
      <c r="CL17" s="168" t="s">
        <v>612</v>
      </c>
      <c r="CM17" s="168" t="s">
        <v>613</v>
      </c>
      <c r="CN17" s="315" t="s">
        <v>434</v>
      </c>
      <c r="CO17" s="170">
        <v>2880</v>
      </c>
      <c r="CP17" s="228" t="s">
        <v>393</v>
      </c>
      <c r="CQ17" s="228" t="s">
        <v>674</v>
      </c>
      <c r="CR17" s="228"/>
      <c r="CS17" s="168" t="s">
        <v>503</v>
      </c>
      <c r="CT17" s="169"/>
      <c r="CU17" s="169"/>
      <c r="CV17" s="169" t="s">
        <v>488</v>
      </c>
      <c r="CW17" s="169" t="s">
        <v>439</v>
      </c>
      <c r="CX17" s="169" t="s">
        <v>220</v>
      </c>
      <c r="CY17" s="169"/>
      <c r="CZ17" s="169"/>
      <c r="DA17" s="169"/>
      <c r="DB17" s="160" t="s">
        <v>1036</v>
      </c>
      <c r="DC17" s="160" t="s">
        <v>1037</v>
      </c>
      <c r="DD17" s="169"/>
      <c r="DE17" s="169" t="s">
        <v>682</v>
      </c>
      <c r="DF17" s="169" t="s">
        <v>530</v>
      </c>
      <c r="DG17" s="530"/>
      <c r="DH17" s="168" t="s">
        <v>548</v>
      </c>
      <c r="DI17" s="168" t="s">
        <v>549</v>
      </c>
      <c r="DJ17" s="168" t="s">
        <v>550</v>
      </c>
      <c r="DK17" s="168"/>
      <c r="DL17" s="168"/>
      <c r="DM17" s="168"/>
      <c r="DN17" s="168"/>
      <c r="DO17" s="168"/>
      <c r="DP17" s="168"/>
      <c r="DQ17" s="168"/>
      <c r="DR17" s="168"/>
      <c r="DS17" s="168"/>
      <c r="DT17" s="168"/>
      <c r="DU17" s="168" t="s">
        <v>792</v>
      </c>
      <c r="DV17" s="168"/>
      <c r="DW17" s="168"/>
      <c r="DX17" s="168"/>
      <c r="DY17" s="168"/>
      <c r="DZ17" s="168"/>
      <c r="EA17" s="168"/>
      <c r="EB17" s="168"/>
      <c r="EC17" s="168"/>
      <c r="ED17" s="168"/>
      <c r="EE17" s="168"/>
      <c r="EF17" s="168"/>
      <c r="EG17" s="168"/>
      <c r="EH17" s="168"/>
      <c r="EI17" s="168" t="s">
        <v>806</v>
      </c>
      <c r="EJ17" s="168"/>
      <c r="EK17" s="168"/>
      <c r="EL17" s="168"/>
      <c r="EM17" s="168"/>
      <c r="EN17" s="168"/>
      <c r="EO17" s="1317" t="s">
        <v>1038</v>
      </c>
      <c r="EP17" s="1317" t="s">
        <v>1042</v>
      </c>
      <c r="EQ17" s="1317" t="s">
        <v>1047</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1043</v>
      </c>
      <c r="M18" s="26" t="s">
        <v>671</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694</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925</v>
      </c>
      <c r="BZ18" s="187" t="s">
        <v>976</v>
      </c>
      <c r="CA18" s="167"/>
      <c r="CB18" s="167"/>
      <c r="CC18" s="167"/>
      <c r="CD18" s="167"/>
      <c r="CE18" s="167"/>
      <c r="CF18" s="167"/>
      <c r="CG18" s="167"/>
      <c r="CH18" s="167"/>
      <c r="CI18" s="167" t="s">
        <v>664</v>
      </c>
      <c r="CJ18" s="167" t="s">
        <v>384</v>
      </c>
      <c r="CK18" s="167" t="s">
        <v>614</v>
      </c>
      <c r="CL18" s="167" t="s">
        <v>615</v>
      </c>
      <c r="CM18" s="167" t="s">
        <v>615</v>
      </c>
      <c r="CN18" s="167">
        <v>1175</v>
      </c>
      <c r="CO18" s="167">
        <v>1800</v>
      </c>
      <c r="CP18" s="315" t="s">
        <v>537</v>
      </c>
      <c r="CQ18" s="167" t="s">
        <v>975</v>
      </c>
      <c r="CR18" s="167"/>
      <c r="CS18" s="167" t="s">
        <v>811</v>
      </c>
      <c r="CT18" s="169"/>
      <c r="CU18" s="169"/>
      <c r="CV18" s="169" t="s">
        <v>405</v>
      </c>
      <c r="CW18" s="169" t="s">
        <v>444</v>
      </c>
      <c r="CX18" s="169" t="s">
        <v>447</v>
      </c>
      <c r="CY18" s="169"/>
      <c r="CZ18" s="169"/>
      <c r="DA18" s="169"/>
      <c r="DB18" s="355" t="s">
        <v>1030</v>
      </c>
      <c r="DC18" s="361"/>
      <c r="DD18" s="169"/>
      <c r="DE18" s="362" t="s">
        <v>681</v>
      </c>
      <c r="DF18" s="362" t="s">
        <v>190</v>
      </c>
      <c r="DG18" s="530"/>
      <c r="DH18" s="167" t="s">
        <v>556</v>
      </c>
      <c r="DI18" s="167" t="s">
        <v>554</v>
      </c>
      <c r="DJ18" s="167" t="s">
        <v>555</v>
      </c>
      <c r="DK18" s="167"/>
      <c r="DL18" s="167"/>
      <c r="DM18" s="168"/>
      <c r="DN18" s="168"/>
      <c r="DO18" s="168"/>
      <c r="DP18" s="168"/>
      <c r="DQ18" s="168"/>
      <c r="DR18" s="168"/>
      <c r="DS18" s="168"/>
      <c r="DT18" s="168"/>
      <c r="DU18" s="168" t="s">
        <v>793</v>
      </c>
      <c r="DV18" s="168"/>
      <c r="DW18" s="168"/>
      <c r="DX18" s="168"/>
      <c r="DY18" s="168"/>
      <c r="DZ18" s="168"/>
      <c r="EA18" s="168"/>
      <c r="EB18" s="168" t="s">
        <v>804</v>
      </c>
      <c r="EC18" s="168" t="s">
        <v>807</v>
      </c>
      <c r="ED18" s="168"/>
      <c r="EE18" s="168">
        <v>1200</v>
      </c>
      <c r="EF18" s="168">
        <v>600</v>
      </c>
      <c r="EG18" s="168"/>
      <c r="EH18" s="168"/>
      <c r="EI18" s="168" t="s">
        <v>809</v>
      </c>
      <c r="EJ18" s="168"/>
      <c r="EK18" s="168"/>
      <c r="EL18" s="168"/>
      <c r="EM18" s="168"/>
      <c r="EN18" s="168"/>
      <c r="EO18" s="355" t="s">
        <v>1030</v>
      </c>
      <c r="EP18" s="355" t="s">
        <v>191</v>
      </c>
      <c r="EQ18" s="355" t="s">
        <v>1043</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675</v>
      </c>
      <c r="BZ19" s="170"/>
      <c r="CA19" s="170"/>
      <c r="CB19" s="170"/>
      <c r="CC19" s="170"/>
      <c r="CD19" s="170"/>
      <c r="CE19" s="170"/>
      <c r="CF19" s="170"/>
      <c r="CG19" s="170"/>
      <c r="CH19" s="170"/>
      <c r="CI19" s="170" t="s">
        <v>660</v>
      </c>
      <c r="CJ19" s="170" t="s">
        <v>380</v>
      </c>
      <c r="CK19" s="170" t="s">
        <v>616</v>
      </c>
      <c r="CL19" s="170" t="s">
        <v>617</v>
      </c>
      <c r="CM19" s="170" t="s">
        <v>618</v>
      </c>
      <c r="CN19" s="170">
        <v>1262</v>
      </c>
      <c r="CO19" s="170">
        <v>700</v>
      </c>
      <c r="CP19" s="170">
        <v>1262</v>
      </c>
      <c r="CQ19" s="170" t="s">
        <v>978</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812</v>
      </c>
      <c r="DG19" s="530" t="s">
        <v>589</v>
      </c>
      <c r="DH19" s="170" t="s">
        <v>560</v>
      </c>
      <c r="DI19" s="170" t="s">
        <v>561</v>
      </c>
      <c r="DJ19" s="170" t="s">
        <v>562</v>
      </c>
      <c r="DK19" s="170"/>
      <c r="DL19" s="170"/>
      <c r="DM19" s="168"/>
      <c r="DN19" s="168"/>
      <c r="DO19" s="168"/>
      <c r="DP19" s="168"/>
      <c r="DQ19" s="168"/>
      <c r="DR19" s="168"/>
      <c r="DS19" s="168"/>
      <c r="DT19" s="168"/>
      <c r="DU19" s="168" t="s">
        <v>794</v>
      </c>
      <c r="DV19" s="168"/>
      <c r="DW19" s="168"/>
      <c r="DX19" s="168"/>
      <c r="DY19" s="168"/>
      <c r="DZ19" s="168"/>
      <c r="EA19" s="168"/>
      <c r="EB19" s="168"/>
      <c r="EC19" s="168"/>
      <c r="ED19" s="168"/>
      <c r="EE19" s="168"/>
      <c r="EF19" s="168"/>
      <c r="EG19" s="168"/>
      <c r="EH19" s="168"/>
      <c r="EI19" s="168"/>
      <c r="EJ19" s="168"/>
      <c r="EK19" s="168"/>
      <c r="EL19" s="168"/>
      <c r="EM19" s="168"/>
      <c r="EN19" s="168"/>
      <c r="EO19" s="1317" t="s">
        <v>1002</v>
      </c>
      <c r="EP19" s="1317" t="s">
        <v>1003</v>
      </c>
      <c r="EQ19" s="1317" t="s">
        <v>1004</v>
      </c>
      <c r="ER19" s="1339">
        <v>875</v>
      </c>
      <c r="ES19" s="1332"/>
      <c r="ET19" s="1520"/>
      <c r="EU19" s="1520"/>
      <c r="EV19" s="530" t="s">
        <v>1105</v>
      </c>
      <c r="EW19" s="168"/>
      <c r="EX19" s="168"/>
      <c r="EY19" s="168" t="s">
        <v>1168</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690</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1151</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795</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934</v>
      </c>
      <c r="J21" s="350" t="s">
        <v>935</v>
      </c>
      <c r="K21" s="350" t="s">
        <v>936</v>
      </c>
      <c r="L21" s="350" t="s">
        <v>937</v>
      </c>
      <c r="M21" s="350" t="s">
        <v>938</v>
      </c>
      <c r="N21" s="350" t="s">
        <v>939</v>
      </c>
      <c r="O21" s="350" t="s">
        <v>940</v>
      </c>
      <c r="P21" s="350" t="s">
        <v>941</v>
      </c>
      <c r="Q21" s="350" t="s">
        <v>942</v>
      </c>
      <c r="R21" s="350" t="s">
        <v>943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946</v>
      </c>
      <c r="AT21" s="778"/>
      <c r="AU21" s="777" t="s">
        <v>944</v>
      </c>
      <c r="AV21" s="778"/>
      <c r="AW21" s="777" t="s">
        <v>945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947</v>
      </c>
      <c r="BW21" s="790" t="s">
        <v>399</v>
      </c>
      <c r="BX21" s="790" t="s">
        <v>400</v>
      </c>
      <c r="BY21" s="1538" t="s">
        <v>974</v>
      </c>
      <c r="BZ21" s="1538"/>
      <c r="CA21" s="790"/>
      <c r="CB21" s="790"/>
      <c r="CC21" s="790"/>
      <c r="CD21" s="790"/>
      <c r="CE21" s="790"/>
      <c r="CF21" s="790"/>
      <c r="CG21" s="790"/>
      <c r="CH21" s="790"/>
      <c r="CI21" s="790" t="s">
        <v>948</v>
      </c>
      <c r="CJ21" s="790" t="s">
        <v>949</v>
      </c>
      <c r="CK21" s="790" t="s">
        <v>950</v>
      </c>
      <c r="CL21" s="790" t="s">
        <v>951</v>
      </c>
      <c r="CM21" s="790" t="s">
        <v>952</v>
      </c>
      <c r="CN21" s="1538" t="s">
        <v>415</v>
      </c>
      <c r="CO21" s="790">
        <v>450</v>
      </c>
      <c r="CP21" s="1538" t="s">
        <v>415</v>
      </c>
      <c r="CQ21" s="1538" t="s">
        <v>676</v>
      </c>
      <c r="CR21" s="1538"/>
      <c r="CS21" s="790"/>
      <c r="CT21" s="530"/>
      <c r="CU21" s="530"/>
      <c r="CV21" s="530" t="s">
        <v>409</v>
      </c>
      <c r="CW21" s="530" t="s">
        <v>442</v>
      </c>
      <c r="CX21" s="530" t="s">
        <v>450</v>
      </c>
      <c r="CY21" s="530"/>
      <c r="CZ21" s="530"/>
      <c r="DA21" s="530"/>
      <c r="DB21" s="363" t="s">
        <v>946</v>
      </c>
      <c r="DC21" s="363" t="s">
        <v>211</v>
      </c>
      <c r="DD21" s="530"/>
      <c r="DE21" s="364" t="s">
        <v>953</v>
      </c>
      <c r="DF21" s="364" t="s">
        <v>973</v>
      </c>
      <c r="DG21" s="530"/>
      <c r="DH21" s="790" t="s">
        <v>563</v>
      </c>
      <c r="DI21" s="790" t="s">
        <v>564</v>
      </c>
      <c r="DJ21" s="790" t="s">
        <v>565</v>
      </c>
      <c r="DK21" s="790"/>
      <c r="DL21" s="790"/>
      <c r="DM21" s="786"/>
      <c r="DN21" s="786"/>
      <c r="DO21" s="786"/>
      <c r="DP21" s="786"/>
      <c r="DQ21" s="786"/>
      <c r="DR21" s="786"/>
      <c r="DS21" s="786"/>
      <c r="DT21" s="786"/>
      <c r="DU21" s="786" t="s">
        <v>796</v>
      </c>
      <c r="DV21" s="786"/>
      <c r="DW21" s="786"/>
      <c r="DX21" s="786"/>
      <c r="DY21" s="786"/>
      <c r="DZ21" s="786"/>
      <c r="EA21" s="786"/>
      <c r="EB21" s="786"/>
      <c r="EC21" s="786"/>
      <c r="ED21" s="786" t="s">
        <v>71</v>
      </c>
      <c r="EE21" s="787"/>
      <c r="EF21" s="786">
        <v>600</v>
      </c>
      <c r="EG21" s="786">
        <v>400</v>
      </c>
      <c r="EH21" s="786">
        <v>450</v>
      </c>
      <c r="EI21" s="786"/>
      <c r="EJ21" s="786" t="s">
        <v>810</v>
      </c>
      <c r="EK21" s="786"/>
      <c r="EL21" s="786"/>
      <c r="EM21" s="786"/>
      <c r="EN21" s="786"/>
      <c r="EO21" s="840" t="s">
        <v>1014</v>
      </c>
      <c r="EP21" s="840" t="s">
        <v>1015</v>
      </c>
      <c r="EQ21" s="840" t="s">
        <v>1016</v>
      </c>
      <c r="ER21" s="1539" t="s">
        <v>997</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872</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796</v>
      </c>
      <c r="DV22" s="786"/>
      <c r="DW22" s="786"/>
      <c r="DX22" s="786"/>
      <c r="DY22" s="786"/>
      <c r="DZ22" s="786"/>
      <c r="EA22" s="786"/>
      <c r="EB22" s="786"/>
      <c r="EC22" s="786"/>
      <c r="ED22" s="786"/>
      <c r="EE22" s="786"/>
      <c r="EF22" s="786"/>
      <c r="EG22" s="786"/>
      <c r="EH22" s="786"/>
      <c r="EI22" s="786"/>
      <c r="EJ22" s="1541" t="s">
        <v>879</v>
      </c>
      <c r="EK22" s="786"/>
      <c r="EL22" s="786"/>
      <c r="EM22" s="786"/>
      <c r="EN22" s="786"/>
      <c r="EO22" s="363" t="s">
        <v>1005</v>
      </c>
      <c r="EP22" s="363" t="s">
        <v>1006</v>
      </c>
      <c r="EQ22" s="363" t="s">
        <v>1007</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695</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687</v>
      </c>
      <c r="BZ25" s="170"/>
      <c r="CA25" s="170"/>
      <c r="CB25" s="170"/>
      <c r="CC25" s="170"/>
      <c r="CD25" s="170"/>
      <c r="CE25" s="170"/>
      <c r="CF25" s="170"/>
      <c r="CG25" s="170"/>
      <c r="CH25" s="170"/>
      <c r="CI25" s="170" t="s">
        <v>662</v>
      </c>
      <c r="CJ25" s="170" t="s">
        <v>383</v>
      </c>
      <c r="CK25" s="170" t="s">
        <v>619</v>
      </c>
      <c r="CL25" s="170" t="s">
        <v>620</v>
      </c>
      <c r="CM25" s="170" t="s">
        <v>621</v>
      </c>
      <c r="CN25" s="170">
        <v>1262</v>
      </c>
      <c r="CO25" s="170">
        <v>600</v>
      </c>
      <c r="CP25" s="170">
        <v>1262</v>
      </c>
      <c r="CQ25" s="170" t="s">
        <v>688</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696</v>
      </c>
      <c r="DG25" s="530" t="s">
        <v>590</v>
      </c>
      <c r="DH25" s="170" t="s">
        <v>566</v>
      </c>
      <c r="DI25" s="170" t="s">
        <v>567</v>
      </c>
      <c r="DJ25" s="170" t="s">
        <v>568</v>
      </c>
      <c r="DK25" s="170"/>
      <c r="DL25" s="170"/>
      <c r="DM25" s="170" t="s">
        <v>727</v>
      </c>
      <c r="DN25" s="170" t="s">
        <v>728</v>
      </c>
      <c r="DO25" s="170" t="s">
        <v>729</v>
      </c>
      <c r="DP25" s="170"/>
      <c r="DQ25" s="170" t="s">
        <v>730</v>
      </c>
      <c r="DR25" s="170" t="s">
        <v>731</v>
      </c>
      <c r="DS25" s="170"/>
      <c r="DT25" s="170" t="s">
        <v>732</v>
      </c>
      <c r="DU25" s="170" t="s">
        <v>733</v>
      </c>
      <c r="DV25" s="170" t="s">
        <v>734</v>
      </c>
      <c r="DW25" s="170" t="s">
        <v>735</v>
      </c>
      <c r="DX25" s="170" t="s">
        <v>736</v>
      </c>
      <c r="DY25" s="170" t="s">
        <v>737</v>
      </c>
      <c r="DZ25" s="170" t="s">
        <v>738</v>
      </c>
      <c r="EA25" s="170" t="s">
        <v>739</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955</v>
      </c>
      <c r="J28" s="26" t="s">
        <v>956</v>
      </c>
      <c r="K28" s="26" t="s">
        <v>957</v>
      </c>
      <c r="L28" s="26" t="s">
        <v>958</v>
      </c>
      <c r="M28" s="26" t="s">
        <v>959</v>
      </c>
      <c r="N28" s="26" t="s">
        <v>968</v>
      </c>
      <c r="O28" s="26" t="s">
        <v>960</v>
      </c>
      <c r="P28" s="26" t="s">
        <v>1137</v>
      </c>
      <c r="Q28" s="26" t="s">
        <v>1138</v>
      </c>
      <c r="R28" s="26" t="s">
        <v>1139</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969</v>
      </c>
      <c r="AT28" s="27"/>
      <c r="AU28" s="52" t="s">
        <v>970</v>
      </c>
      <c r="AV28" s="27"/>
      <c r="AW28" s="52" t="s">
        <v>971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961</v>
      </c>
      <c r="BW28" s="170" t="s">
        <v>954</v>
      </c>
      <c r="BX28" s="170" t="s">
        <v>962</v>
      </c>
      <c r="BY28" s="186" t="s">
        <v>1131</v>
      </c>
      <c r="BZ28" s="186"/>
      <c r="CA28" s="170" t="s">
        <v>370</v>
      </c>
      <c r="CB28" s="170" t="s">
        <v>371</v>
      </c>
      <c r="CC28" s="170" t="s">
        <v>372</v>
      </c>
      <c r="CD28" s="170" t="s">
        <v>373</v>
      </c>
      <c r="CE28" s="170"/>
      <c r="CF28" s="170"/>
      <c r="CG28" s="170"/>
      <c r="CH28" s="170"/>
      <c r="CI28" s="170" t="s">
        <v>963</v>
      </c>
      <c r="CJ28" s="170" t="s">
        <v>964</v>
      </c>
      <c r="CK28" s="170" t="s">
        <v>622</v>
      </c>
      <c r="CL28" s="170" t="s">
        <v>623</v>
      </c>
      <c r="CM28" s="170" t="s">
        <v>624</v>
      </c>
      <c r="CN28" s="186" t="s">
        <v>414</v>
      </c>
      <c r="CO28" s="170">
        <v>850</v>
      </c>
      <c r="CP28" s="186" t="s">
        <v>414</v>
      </c>
      <c r="CQ28" s="170" t="s">
        <v>693</v>
      </c>
      <c r="CR28" s="170"/>
      <c r="CS28" s="170"/>
      <c r="CT28" s="169"/>
      <c r="CU28" s="169"/>
      <c r="CV28" s="169" t="s">
        <v>586</v>
      </c>
      <c r="CW28" s="169" t="s">
        <v>965</v>
      </c>
      <c r="CX28" s="169" t="s">
        <v>452</v>
      </c>
      <c r="CY28" s="169"/>
      <c r="CZ28" s="169"/>
      <c r="DA28" s="169"/>
      <c r="DB28" s="160" t="s">
        <v>969</v>
      </c>
      <c r="DC28" s="356"/>
      <c r="DD28" s="169"/>
      <c r="DE28" s="364" t="s">
        <v>966</v>
      </c>
      <c r="DF28" s="350" t="s">
        <v>972</v>
      </c>
      <c r="DG28" s="169"/>
      <c r="DH28" s="170" t="s">
        <v>569</v>
      </c>
      <c r="DI28" s="170" t="s">
        <v>570</v>
      </c>
      <c r="DJ28" s="170" t="s">
        <v>571</v>
      </c>
      <c r="DK28" s="170"/>
      <c r="DL28" s="170"/>
      <c r="DM28" s="654" t="s">
        <v>770</v>
      </c>
      <c r="DN28" s="170"/>
      <c r="DO28" s="170"/>
      <c r="DP28" s="170"/>
      <c r="DQ28" s="170"/>
      <c r="DR28" s="170"/>
      <c r="DS28" s="170"/>
      <c r="DT28" s="170"/>
      <c r="DU28" s="170" t="s">
        <v>769</v>
      </c>
      <c r="DV28" s="170"/>
      <c r="DW28" s="170"/>
      <c r="DX28" s="170"/>
      <c r="DY28" s="170"/>
      <c r="DZ28" s="170"/>
      <c r="EA28" s="170"/>
      <c r="EB28" s="170"/>
      <c r="EC28" s="170"/>
      <c r="ED28" s="170" t="s">
        <v>967</v>
      </c>
      <c r="EE28" s="170"/>
      <c r="EF28" s="170"/>
      <c r="EG28" s="170"/>
      <c r="EH28" s="170"/>
      <c r="EI28" s="170"/>
      <c r="EJ28" s="170"/>
      <c r="EK28" s="170"/>
      <c r="EL28" s="170"/>
      <c r="EM28" s="170"/>
      <c r="EN28" s="170"/>
      <c r="EO28" s="1319" t="s">
        <v>993</v>
      </c>
      <c r="EP28" s="1319" t="s">
        <v>994</v>
      </c>
      <c r="EQ28" s="1319" t="s">
        <v>995</v>
      </c>
      <c r="ER28" s="1340" t="s">
        <v>996</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692</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800</v>
      </c>
      <c r="BZ29" s="170"/>
      <c r="CA29" s="170"/>
      <c r="CB29" s="170"/>
      <c r="CC29" s="170"/>
      <c r="CD29" s="170"/>
      <c r="CE29" s="170"/>
      <c r="CF29" s="170"/>
      <c r="CG29" s="170"/>
      <c r="CH29" s="170"/>
      <c r="CI29" s="170"/>
      <c r="CJ29" s="170"/>
      <c r="CK29" s="170"/>
      <c r="CL29" s="170"/>
      <c r="CM29" s="170"/>
      <c r="CN29" s="170">
        <v>1292</v>
      </c>
      <c r="CO29" s="170">
        <v>850</v>
      </c>
      <c r="CP29" s="170">
        <v>1292</v>
      </c>
      <c r="CQ29" s="170" t="s">
        <v>801</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769</v>
      </c>
      <c r="DV29" s="170"/>
      <c r="DW29" s="170"/>
      <c r="DX29" s="170"/>
      <c r="DY29" s="170"/>
      <c r="DZ29" s="170"/>
      <c r="EA29" s="170"/>
      <c r="EB29" s="170"/>
      <c r="EC29" s="170"/>
      <c r="ED29" s="170"/>
      <c r="EE29" s="170"/>
      <c r="EF29" s="170"/>
      <c r="EG29" s="170"/>
      <c r="EH29" s="170"/>
      <c r="EI29" s="170"/>
      <c r="EJ29" s="170"/>
      <c r="EK29" s="170"/>
      <c r="EL29" s="170"/>
      <c r="EM29" s="170"/>
      <c r="EN29" s="170"/>
      <c r="EO29" s="1317" t="s">
        <v>1017</v>
      </c>
      <c r="EP29" s="1317" t="s">
        <v>1018</v>
      </c>
      <c r="EQ29" s="1317" t="s">
        <v>1019</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8QVwytAxUweiBON6hkC4vZXAj5dbQGwfmi1TDgqNdqFeqTYpjn//Aq093ACmtGr8+Z9LE6YJOoVT/VakbqTxg==" saltValue="gv1e6saD9vqo9tUOhx8J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GANDIA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740</v>
      </c>
      <c r="F5" s="1914" t="s">
        <v>526</v>
      </c>
      <c r="G5" s="1885" t="s">
        <v>173</v>
      </c>
      <c r="H5" s="1885" t="s">
        <v>773</v>
      </c>
      <c r="I5" s="1885" t="s">
        <v>741</v>
      </c>
      <c r="J5" s="1885" t="s">
        <v>858</v>
      </c>
      <c r="K5" s="1885" t="s">
        <v>859</v>
      </c>
      <c r="L5" s="1885" t="s">
        <v>742</v>
      </c>
      <c r="M5" s="1885" t="s">
        <v>697</v>
      </c>
      <c r="N5" s="1885" t="s">
        <v>860</v>
      </c>
      <c r="O5" s="1917" t="s">
        <v>771</v>
      </c>
      <c r="P5" s="1885" t="s">
        <v>880</v>
      </c>
      <c r="Q5" s="1885" t="s">
        <v>874</v>
      </c>
      <c r="R5" s="1885" t="s">
        <v>229</v>
      </c>
      <c r="S5" s="1920" t="s">
        <v>870</v>
      </c>
      <c r="T5" s="1920" t="s">
        <v>873</v>
      </c>
      <c r="U5" s="1885" t="s">
        <v>774</v>
      </c>
      <c r="V5" s="1920" t="s">
        <v>743</v>
      </c>
      <c r="W5" s="1885" t="s">
        <v>1026</v>
      </c>
      <c r="X5" s="1885" t="s">
        <v>1027</v>
      </c>
      <c r="Y5" s="1888" t="s">
        <v>861</v>
      </c>
      <c r="Z5" s="1903" t="s">
        <v>799</v>
      </c>
      <c r="AA5" s="1906" t="s">
        <v>744</v>
      </c>
      <c r="AB5" s="1903" t="s">
        <v>745</v>
      </c>
      <c r="AC5" s="1903" t="s">
        <v>746</v>
      </c>
      <c r="AD5" s="1882" t="s">
        <v>862</v>
      </c>
      <c r="AE5" s="1882" t="s">
        <v>1054</v>
      </c>
      <c r="AF5" s="1885" t="s">
        <v>875</v>
      </c>
      <c r="AG5" s="1885" t="s">
        <v>698</v>
      </c>
      <c r="AH5" s="1885" t="s">
        <v>863</v>
      </c>
      <c r="AI5" s="1885" t="s">
        <v>240</v>
      </c>
      <c r="AJ5" s="1885" t="s">
        <v>930</v>
      </c>
      <c r="AK5" s="1885" t="s">
        <v>699</v>
      </c>
      <c r="AL5" s="1885" t="s">
        <v>700</v>
      </c>
      <c r="AM5" s="1885" t="s">
        <v>881</v>
      </c>
      <c r="AN5" s="1885" t="s">
        <v>701</v>
      </c>
      <c r="AO5" s="1885" t="s">
        <v>702</v>
      </c>
      <c r="AP5" s="1885" t="s">
        <v>703</v>
      </c>
      <c r="AQ5" s="1885" t="s">
        <v>704</v>
      </c>
      <c r="AR5" s="1885" t="s">
        <v>864</v>
      </c>
      <c r="AS5" s="1885" t="s">
        <v>243</v>
      </c>
      <c r="AT5" s="1891" t="s">
        <v>241</v>
      </c>
      <c r="AU5" s="1885" t="s">
        <v>876</v>
      </c>
      <c r="AV5" s="1894" t="s">
        <v>877</v>
      </c>
      <c r="AW5" s="1897" t="s">
        <v>706</v>
      </c>
      <c r="AX5" s="1885" t="s">
        <v>707</v>
      </c>
      <c r="AY5" s="1885" t="s">
        <v>797</v>
      </c>
      <c r="AZ5" s="1900" t="s">
        <v>798</v>
      </c>
      <c r="BA5" s="1885" t="s">
        <v>748</v>
      </c>
      <c r="BB5" s="1894" t="s">
        <v>749</v>
      </c>
      <c r="BC5" s="1897" t="s">
        <v>244</v>
      </c>
      <c r="BD5" s="1885" t="s">
        <v>750</v>
      </c>
      <c r="BE5" s="1885" t="s">
        <v>321</v>
      </c>
      <c r="BF5" s="1885" t="s">
        <v>322</v>
      </c>
      <c r="BG5" s="1885" t="s">
        <v>323</v>
      </c>
      <c r="BH5" s="1885" t="s">
        <v>751</v>
      </c>
      <c r="BI5" s="1885" t="s">
        <v>324</v>
      </c>
      <c r="BJ5" s="1885" t="s">
        <v>752</v>
      </c>
      <c r="BK5" s="1885" t="s">
        <v>767</v>
      </c>
      <c r="BL5" s="1885" t="s">
        <v>753</v>
      </c>
      <c r="BM5" s="1885" t="s">
        <v>754</v>
      </c>
      <c r="BN5" s="1885" t="s">
        <v>782</v>
      </c>
      <c r="BO5" s="1885" t="s">
        <v>775</v>
      </c>
      <c r="BP5" s="1885" t="s">
        <v>1111</v>
      </c>
      <c r="BQ5" s="1885" t="s">
        <v>1115</v>
      </c>
      <c r="BR5" s="1885" t="s">
        <v>1117</v>
      </c>
      <c r="BS5" s="1885" t="s">
        <v>776</v>
      </c>
      <c r="BT5" s="1885" t="s">
        <v>755</v>
      </c>
      <c r="BU5" s="1885" t="s">
        <v>705</v>
      </c>
      <c r="BV5" s="1909" t="s">
        <v>1028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320</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878</v>
      </c>
      <c r="O9" s="549"/>
      <c r="P9" s="549"/>
      <c r="Q9" s="547">
        <f>IF(ISNUMBER(Datos!P9),Datos!P9,0)</f>
        <v>2005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1846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236</v>
      </c>
      <c r="AI9" s="549" t="str">
        <f>IF(ISNUMBER(Datos!CD9),Datos!CD9,"-")</f>
        <v>-</v>
      </c>
      <c r="AJ9" s="549" t="str">
        <f>IF(ISNUMBER(Datos!EN9),Datos!EN9," - ")</f>
        <v xml:space="preserve"> - </v>
      </c>
      <c r="AK9" s="549"/>
      <c r="AL9" s="550"/>
      <c r="AM9" s="766">
        <f>IF(ISNUMBER(Datos!R9),Datos!R9," - ")</f>
        <v>7393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1547</v>
      </c>
      <c r="BD9" s="693">
        <f>IF(ISNUMBER(Datos!N9),Datos!N9," - ")</f>
        <v>3291</v>
      </c>
      <c r="BE9" s="693" t="str">
        <f>IF(ISNUMBER(Datos!BW9),Datos!BW9," - ")</f>
        <v xml:space="preserve"> - </v>
      </c>
      <c r="BF9" s="762" t="str">
        <f>IF(ISNUMBER(Datos!BX9),Datos!BX9," - ")</f>
        <v xml:space="preserve"> - </v>
      </c>
      <c r="BG9" s="763">
        <f>IF(ISNUMBER(IF(J_V="SI",Datos!K9/Datos!J9,(Datos!K9+Datos!AA9)/(Datos!J9+Datos!Z9))),IF(J_V="SI",Datos!K9/Datos!J9,(Datos!K9+Datos!AA9)/(Datos!J9+Datos!Z9))," - ")</f>
        <v>0.94334975369458129</v>
      </c>
      <c r="BH9" s="764">
        <f>IF(ISNUMBER(((IF(J_V="SI",Datos!L9/Datos!K9,(Datos!L9+Datos!AB9)/(Datos!K9+Datos!AA9)))*11)/factor_trimestre),((IF(J_V="SI",Datos!L9/Datos!K9,(Datos!L9+Datos!AB9)/(Datos!K9+Datos!AA9)))*11)/factor_trimestre," - ")</f>
        <v>5.7503689408559424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2.1979541056123861E-2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1</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74</v>
      </c>
      <c r="AC10" s="547">
        <f>IF(ISNUMBER(Datos!Q10),Datos!Q10," - ")</f>
        <v>15</v>
      </c>
      <c r="AD10" s="549"/>
      <c r="AE10" s="563"/>
      <c r="AF10" s="551">
        <f>IF(ISNUMBER(Datos!L10),Datos!L10,"-")</f>
        <v>67</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25</v>
      </c>
      <c r="BD10" s="693">
        <f>IF(ISNUMBER(Datos!N10),Datos!N10," - ")</f>
        <v>36</v>
      </c>
      <c r="BE10" s="693" t="str">
        <f>IF(ISNUMBER(Datos!BW10),Datos!BW10," - ")</f>
        <v xml:space="preserve"> - </v>
      </c>
      <c r="BF10" s="762" t="str">
        <f>IF(ISNUMBER(Datos!BX10),Datos!BX10," - ")</f>
        <v xml:space="preserve"> - </v>
      </c>
      <c r="BG10" s="763">
        <f>IF(ISNUMBER(Datos!K10/Datos!J10),Datos!K10/Datos!J10," - ")</f>
        <v>0.73267326732673266</v>
      </c>
      <c r="BH10" s="764">
        <f>IF(ISNUMBER(((Datos!L10/Datos!K10)*11)/factor_trimestre),((Datos!L10/Datos!K10)*11)/factor_trimestre," - ")</f>
        <v>9.9594594594594597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186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878</v>
      </c>
      <c r="O14" s="1199">
        <f t="shared" si="1"/>
        <v>0</v>
      </c>
      <c r="P14" s="1199">
        <f t="shared" si="1"/>
        <v>0</v>
      </c>
      <c r="Q14" s="1198">
        <f t="shared" si="1"/>
        <v>2217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74</v>
      </c>
      <c r="AC14" s="1198">
        <f t="shared" si="2"/>
        <v>1866</v>
      </c>
      <c r="AD14" s="1198">
        <f t="shared" si="2"/>
        <v>0</v>
      </c>
      <c r="AE14" s="1198">
        <f t="shared" si="2"/>
        <v>0</v>
      </c>
      <c r="AF14" s="1198">
        <f t="shared" si="2"/>
        <v>67</v>
      </c>
      <c r="AG14" s="1198">
        <f t="shared" si="2"/>
        <v>0</v>
      </c>
      <c r="AH14" s="1198">
        <f t="shared" si="2"/>
        <v>236</v>
      </c>
      <c r="AI14" s="1198">
        <f t="shared" si="2"/>
        <v>0</v>
      </c>
      <c r="AJ14" s="1198">
        <f t="shared" si="2"/>
        <v>0</v>
      </c>
      <c r="AK14" s="1198">
        <f t="shared" si="2"/>
        <v>0</v>
      </c>
      <c r="AL14" s="1198">
        <f t="shared" si="2"/>
        <v>0</v>
      </c>
      <c r="AM14" s="1198">
        <f t="shared" si="2"/>
        <v>7735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1572</v>
      </c>
      <c r="BD14" s="1198">
        <f t="shared" si="2"/>
        <v>3327</v>
      </c>
      <c r="BE14" s="1198">
        <f t="shared" si="2"/>
        <v>0</v>
      </c>
      <c r="BF14" s="1198">
        <f t="shared" si="2"/>
        <v>0</v>
      </c>
      <c r="BG14" s="1198">
        <f>IF(ISNUMBER(Datos!K14/Datos!J14),Datos!K14/Datos!J14," - ")</f>
        <v>0.93214994744832413</v>
      </c>
      <c r="BH14" s="1202">
        <f>IF(ISNUMBER(((Datos!L14/Datos!K14)*11)/factor_trimestre),((Datos!L14/Datos!K14)*11)/factor_trimestre," - ")</f>
        <v>6.1146329240791779</v>
      </c>
      <c r="BI14" s="1198">
        <f>IF(ISNUMBER('Resol  Asuntos'!D14/NºAsuntos!G14),'Resol  Asuntos'!D14/NºAsuntos!G14," - ")</f>
        <v>0.17692740574001126</v>
      </c>
      <c r="BJ14" s="1198" t="str">
        <f>IF(ISNUMBER(Datos!CI14/Datos!CJ14),Datos!CI14/Datos!CJ14," - ")</f>
        <v xml:space="preserve"> - </v>
      </c>
      <c r="BK14" s="1198">
        <f>SUBTOTAL(9,BK8:BK13)</f>
        <v>0</v>
      </c>
      <c r="BL14" s="1198">
        <f>IF(ISNUMBER((I14-AB14+L14)/(F14)),(I14-AB14+L14)/(F14)," - ")</f>
        <v>-1.85</v>
      </c>
      <c r="BM14" s="1203">
        <f>SUBTOTAL(9,BM9:BM13)</f>
        <v>2.0519795410561237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510</v>
      </c>
      <c r="C16" s="749" t="str">
        <f>Datos!A16</f>
        <v xml:space="preserve">Jdos. Instrucción                               </v>
      </c>
      <c r="D16" s="750"/>
      <c r="E16" s="1555">
        <f>IF(ISNUMBER(Datos!AQ16),Datos!AQ16," - ")</f>
        <v>3</v>
      </c>
      <c r="F16" s="740">
        <f>IF(ISNUMBER(AF16+AB16-Datos!J16-L16),AF16+AB16-Datos!J16-L16," - ")</f>
        <v>1645</v>
      </c>
      <c r="G16" s="743">
        <f>IF(ISNUMBER(IF(D_I="SI",Datos!I16,Datos!I16+Datos!AC16)),IF(D_I="SI",Datos!I16,Datos!I16+Datos!AC16)," - ")</f>
        <v>1409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461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8658</v>
      </c>
      <c r="AC16" s="240">
        <f>IF(ISNUMBER(Datos!Q16),Datos!Q16," - ")</f>
        <v>389</v>
      </c>
      <c r="AD16" s="374"/>
      <c r="AE16" s="562"/>
      <c r="AF16" s="741">
        <f>IF(ISNUMBER(IF(D_I="SI",Datos!L16,Datos!L16+Datos!AF16)),IF(D_I="SI",Datos!L16,Datos!L16+Datos!AF16)," - ")</f>
        <v>1386</v>
      </c>
      <c r="AG16" s="374"/>
      <c r="AH16" s="374"/>
      <c r="AI16" s="374"/>
      <c r="AJ16" s="549"/>
      <c r="AK16" s="374"/>
      <c r="AL16" s="545"/>
      <c r="AM16" s="375">
        <f>IF(ISNUMBER(Datos!R16),Datos!R16," - ")</f>
        <v>313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1537</v>
      </c>
      <c r="BD16" s="243">
        <f>IF(ISNUMBER(Datos!N16),Datos!N16," - ")</f>
        <v>4617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1.0308370044052864</v>
      </c>
      <c r="BH16" s="764">
        <f>IF(ISNUMBER(((IF(D_I="SI",Datos!L16/Datos!K16,(Datos!L16+Datos!AF16)/(Datos!K16+Datos!AE16)))*11)/factor_trimestre),((IF(D_I="SI",Datos!L16/Datos!K16,(Datos!L16+Datos!AF16)/(Datos!K16+Datos!AE16)))*11)/factor_trimestre," - ")</f>
        <v>1.7609147609147611</v>
      </c>
      <c r="BI16" s="266">
        <f>IF(ISNUMBER('Resol  Asuntos'!D16/NºAsuntos!G16),'Resol  Asuntos'!D16/NºAsuntos!G16," - ")</f>
        <v>0.17752367752367754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510</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917</v>
      </c>
      <c r="AC18" s="547">
        <f>IF(ISNUMBER(Datos!Q18),Datos!Q18," - ")</f>
        <v>40</v>
      </c>
      <c r="AD18" s="549"/>
      <c r="AE18" s="562"/>
      <c r="AF18" s="551">
        <f>IF(ISNUMBER(Datos!L18),Datos!L18,"-")</f>
        <v>92</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267</v>
      </c>
      <c r="BD18" s="693">
        <f>IF(ISNUMBER(Datos!N18),Datos!N18," - ")</f>
        <v>652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1.0121412803532008</v>
      </c>
      <c r="BH18" s="764">
        <f>IF(ISNUMBER(((IF(D_I="SI",Datos!L18/Datos!K18,(Datos!L18+Datos!AF18)/(Datos!K18+Datos!AE18)))*11)/factor_trimestre),((IF(D_I="SI",Datos!L18/Datos!K18,(Datos!L18+Datos!AF18)/(Datos!K18+Datos!AE18)))*11)/factor_trimestre," - ")</f>
        <v>1.1035986913849509</v>
      </c>
      <c r="BI18" s="763">
        <f>IF(ISNUMBER('Resol  Asuntos'!D18/NºAsuntos!G18),'Resol  Asuntos'!D18/NºAsuntos!G18," - ")</f>
        <v>0.29116684841875684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510</v>
      </c>
      <c r="C21" s="747" t="str">
        <f>Datos!A21</f>
        <v xml:space="preserve">Jdos. de lo Penal                               </v>
      </c>
      <c r="D21" s="601"/>
      <c r="E21" s="1380">
        <f>IF(ISNUMBER(Datos!AQ21),Datos!AQ21," - ")</f>
        <v>1</v>
      </c>
      <c r="F21" s="552">
        <f>IF(ISNUMBER(Datos!L21+Datos!K21-Datos!J21),Datos!L21+Datos!K21-Datos!J21," - ")</f>
        <v>559</v>
      </c>
      <c r="G21" s="543">
        <f>IF(ISNUMBER(Datos!I21),Datos!I21," - ")</f>
        <v>532</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1179</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399</v>
      </c>
      <c r="AC21" s="547">
        <f>IF(ISNUMBER(Datos!Q21),Datos!Q21," - ")</f>
        <v>1511</v>
      </c>
      <c r="AD21" s="549"/>
      <c r="AE21" s="563"/>
      <c r="AF21" s="551">
        <f>IF(ISNUMBER(Datos!L21),Datos!L21,"-")</f>
        <v>612</v>
      </c>
      <c r="AG21" s="549"/>
      <c r="AH21" s="549"/>
      <c r="AI21" s="549"/>
      <c r="AJ21" s="549"/>
      <c r="AK21" s="549"/>
      <c r="AL21" s="550"/>
      <c r="AM21" s="766">
        <f>IF(ISNUMBER(Datos!R21),Datos!R21," - ")</f>
        <v>2091</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369</v>
      </c>
      <c r="BD21" s="693"/>
      <c r="BE21" s="693" t="str">
        <f>IF(ISNUMBER(Datos!BW21),Datos!BW21," - ")</f>
        <v xml:space="preserve"> - </v>
      </c>
      <c r="BF21" s="762" t="str">
        <f>IF(ISNUMBER(Datos!BX21),Datos!BX21," - ")</f>
        <v xml:space="preserve"> - </v>
      </c>
      <c r="BG21" s="763">
        <f>IF(ISNUMBER(Datos!K21/Datos!J21),Datos!K21/Datos!J21," - ")</f>
        <v>0.88274336283185839</v>
      </c>
      <c r="BH21" s="764">
        <f>IF(ISNUMBER(((Datos!L21/Datos!K21)*11)/factor_trimestre),((Datos!L21/Datos!K21)*11)/factor_trimestre," - ")</f>
        <v>16.872180451127818</v>
      </c>
      <c r="BI21" s="763">
        <f>IF(ISNUMBER('Resol  Asuntos'!D21/NºAsuntos!G21),'Resol  Asuntos'!D21/NºAsuntos!G21," - ")</f>
        <v>0.92481203007518797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2204</v>
      </c>
      <c r="G23" s="1197">
        <f>SUBTOTAL(9,G16:G22)</f>
        <v>2044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1693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9974</v>
      </c>
      <c r="AC23" s="1198">
        <f t="shared" si="5"/>
        <v>1940</v>
      </c>
      <c r="AD23" s="1198">
        <f t="shared" si="5"/>
        <v>0</v>
      </c>
      <c r="AE23" s="1198">
        <f t="shared" si="5"/>
        <v>0</v>
      </c>
      <c r="AF23" s="1198">
        <f t="shared" si="5"/>
        <v>2090</v>
      </c>
      <c r="AG23" s="1198">
        <f t="shared" si="5"/>
        <v>0</v>
      </c>
      <c r="AH23" s="1198">
        <f t="shared" si="5"/>
        <v>0</v>
      </c>
      <c r="AI23" s="1198">
        <f t="shared" si="5"/>
        <v>0</v>
      </c>
      <c r="AJ23" s="1198">
        <f t="shared" si="5"/>
        <v>0</v>
      </c>
      <c r="AK23" s="1198">
        <f t="shared" si="5"/>
        <v>0</v>
      </c>
      <c r="AL23" s="1198">
        <f t="shared" si="5"/>
        <v>0</v>
      </c>
      <c r="AM23" s="1198">
        <f t="shared" si="5"/>
        <v>2424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2173</v>
      </c>
      <c r="BD23" s="1198">
        <f t="shared" si="5"/>
        <v>5269</v>
      </c>
      <c r="BE23" s="1198">
        <f t="shared" si="5"/>
        <v>0</v>
      </c>
      <c r="BF23" s="1198">
        <f t="shared" si="5"/>
        <v>0</v>
      </c>
      <c r="BG23" s="1198">
        <f>IF(ISNUMBER(Datos!K23/Datos!J23),Datos!K23/Datos!J23," - ")</f>
        <v>1.0222404427590448</v>
      </c>
      <c r="BH23" s="1202">
        <f>IF(ISNUMBER(((Datos!L23/Datos!K23)*11)/factor_trimestre),((Datos!L23/Datos!K23)*11)/factor_trimestre," - ")</f>
        <v>2.3049929817525565</v>
      </c>
      <c r="BI23" s="1198">
        <f>SUBTOTAL(9,BI16:BI22)</f>
        <v>1.3935025560176224</v>
      </c>
      <c r="BJ23" s="1198">
        <f>SUBTOTAL(9,BJ16:BJ22)</f>
        <v>0</v>
      </c>
      <c r="BK23" s="1198">
        <f>SUBTOTAL(9,BK16:BK22)</f>
        <v>0</v>
      </c>
      <c r="BL23" s="1198">
        <f>IF(ISNUMBER((I23-AB23+L23)/(F23)),(I23-AB23+L23)/(F23)," - ")</f>
        <v>-4.5254083484573506</v>
      </c>
      <c r="BM23" s="1205">
        <f>IF(ISNUMBER((Datos!P23-Datos!Q23)/(Datos!R23-Datos!P23+Datos!Q23)),(Datos!P23-Datos!Q23)/(Datos!R23-Datos!P23+Datos!Q23)," - ")</f>
        <v>-9.2474728566080119E-2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2244</v>
      </c>
      <c r="G31" s="1117">
        <f t="shared" si="18"/>
        <v>2084</v>
      </c>
      <c r="H31" s="1119">
        <f t="shared" si="18"/>
        <v>0</v>
      </c>
      <c r="I31" s="1117">
        <f t="shared" si="18"/>
        <v>0</v>
      </c>
      <c r="J31" s="1119">
        <f t="shared" si="18"/>
        <v>0</v>
      </c>
      <c r="K31" s="1119">
        <f t="shared" si="18"/>
        <v>0</v>
      </c>
      <c r="L31" s="1180">
        <f t="shared" si="18"/>
        <v>0</v>
      </c>
      <c r="M31" s="1180">
        <f t="shared" si="18"/>
        <v>0</v>
      </c>
      <c r="N31" s="1180">
        <f t="shared" si="18"/>
        <v>878</v>
      </c>
      <c r="O31" s="1180">
        <f t="shared" si="18"/>
        <v>0</v>
      </c>
      <c r="P31" s="1180">
        <f t="shared" si="18"/>
        <v>0</v>
      </c>
      <c r="Q31" s="1119">
        <f t="shared" si="18"/>
        <v>3910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10048</v>
      </c>
      <c r="AC31" s="1118">
        <f t="shared" si="19"/>
        <v>3806</v>
      </c>
      <c r="AD31" s="1118">
        <f t="shared" si="19"/>
        <v>0</v>
      </c>
      <c r="AE31" s="1118">
        <f t="shared" si="19"/>
        <v>0</v>
      </c>
      <c r="AF31" s="1125">
        <f t="shared" si="19"/>
        <v>2157</v>
      </c>
      <c r="AG31" s="1125">
        <f t="shared" si="19"/>
        <v>0</v>
      </c>
      <c r="AH31" s="1125">
        <f t="shared" si="19"/>
        <v>236</v>
      </c>
      <c r="AI31" s="1125">
        <f t="shared" si="19"/>
        <v>0</v>
      </c>
      <c r="AJ31" s="1118">
        <f t="shared" si="19"/>
        <v>0</v>
      </c>
      <c r="AK31" s="1125">
        <f t="shared" si="19"/>
        <v>0</v>
      </c>
      <c r="AL31" s="1125">
        <f t="shared" si="19"/>
        <v>0</v>
      </c>
      <c r="AM31" s="1125">
        <f t="shared" si="19"/>
        <v>10159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3745</v>
      </c>
      <c r="BD31" s="1117">
        <f t="shared" si="19"/>
        <v>8596</v>
      </c>
      <c r="BE31" s="1117">
        <f t="shared" si="19"/>
        <v>0</v>
      </c>
      <c r="BF31" s="1127">
        <f t="shared" si="19"/>
        <v>0</v>
      </c>
      <c r="BG31" s="1223">
        <f>IF(ISNUMBER(Datos!K31/Datos!J31),Datos!K31/Datos!J31," - ")</f>
        <v>0.98013100436681222</v>
      </c>
      <c r="BH31" s="1223">
        <f>IF(ISNUMBER(((Datos!L31/Datos!K31)*11)/factor_trimestre),((Datos!L31/Datos!K31)*11)/factor_trimestre," - ")</f>
        <v>3.9984963243484075</v>
      </c>
      <c r="BI31" s="1103">
        <f>IF(ISNUMBER(Datos!J31/Datos!I31),Datos!J31/Datos!I31," - ")</f>
        <v>3.0815811606391925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-4.4777183600713011</v>
      </c>
      <c r="BM31" s="1188">
        <f>IF(ISNUMBER((Datos!P31-Datos!Q31+R31)/(Datos!R31-Datos!P31+Datos!Q31-R31)),(Datos!P31-Datos!Q31+R31)/(Datos!R31-Datos!P31+Datos!Q31-R31)," - ")</f>
        <v>1.0343112879164595E-2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463.11111111111109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2.256893274273728</v>
      </c>
      <c r="F33" s="673">
        <f>IF(ISNUMBER(STDEV(F8:F30)),STDEV(F8:F30),"-")</f>
        <v>875.17785947445316</v>
      </c>
      <c r="G33" s="674">
        <f>IF(ISNUMBER(STDEV(G8:G30)),STDEV(G8:G30),"-")</f>
        <v>752.47947554143366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4040.1198448945934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840.04505290436111</v>
      </c>
      <c r="BD33" s="673"/>
      <c r="BE33" s="673">
        <f>IF(ISNUMBER(STDEV(BE8:BE30)),STDEV(BE8:BE30),"-")</f>
        <v>0</v>
      </c>
      <c r="BF33" s="678">
        <f>IF(ISNUMBER(STDEV(BF8:BF30)),STDEV(BF8:BF30),"-")</f>
        <v>0</v>
      </c>
      <c r="BG33" s="1052">
        <f>IF(ISNUMBER(STDEV(BG8:BG30)),STDEV(BG8:BG30),"-")</f>
        <v>9.9993956297155503E-2</v>
      </c>
      <c r="BH33" s="1058">
        <f>IF(ISNUMBER(STDEV(BH8:BH30)),STDEV(BH8:BH30),"-")</f>
        <v>5.2040019563763344</v>
      </c>
      <c r="BI33" s="273">
        <f>IF(ISNUMBER(STDEV(BI8:BI30)),STDEV(BI8:BI30),"-")</f>
        <v>0.54491824322916915</v>
      </c>
      <c r="BJ33" s="244" t="str">
        <f>IF(ISNUMBER(BL33/BM33),BL33/BM33," - ")</f>
        <v xml:space="preserve"> - </v>
      </c>
      <c r="BK33" s="709"/>
      <c r="BL33" s="681">
        <f>IF(ISNUMBER(STDEV(BL8:BL30)),STDEV(BL8:BL30),"-")</f>
        <v>1.8917993856372946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LYdcRyt+MloieOMQR57dhzFaKFsp3woJfl0L9dAHMJ+a21wiRzeGgEV8m9Wjro2dbTDe+BCRBRrc0llDYcBSg==" saltValue="R7FL0enXjKpDt9Ikhzoa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GANDIA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740</v>
      </c>
      <c r="F5" s="1914" t="s">
        <v>526</v>
      </c>
      <c r="G5" s="1885" t="s">
        <v>173</v>
      </c>
      <c r="H5" s="1885" t="s">
        <v>773</v>
      </c>
      <c r="I5" s="1885" t="s">
        <v>741</v>
      </c>
      <c r="J5" s="1885" t="s">
        <v>878</v>
      </c>
      <c r="K5" s="1885" t="s">
        <v>742</v>
      </c>
      <c r="L5" s="1885" t="s">
        <v>771</v>
      </c>
      <c r="M5" s="1885" t="s">
        <v>880</v>
      </c>
      <c r="N5" s="1885" t="s">
        <v>768</v>
      </c>
      <c r="O5" s="1885" t="s">
        <v>802</v>
      </c>
      <c r="P5" s="1920" t="s">
        <v>870</v>
      </c>
      <c r="Q5" s="1920" t="s">
        <v>873</v>
      </c>
      <c r="R5" s="1885" t="s">
        <v>777</v>
      </c>
      <c r="S5" s="1885" t="s">
        <v>743</v>
      </c>
      <c r="T5" s="1885" t="s">
        <v>1026</v>
      </c>
      <c r="U5" s="1885" t="s">
        <v>1027</v>
      </c>
      <c r="V5" s="1888" t="s">
        <v>861</v>
      </c>
      <c r="W5" s="1903" t="s">
        <v>757</v>
      </c>
      <c r="X5" s="1906" t="s">
        <v>758</v>
      </c>
      <c r="Y5" s="1882" t="s">
        <v>778</v>
      </c>
      <c r="Z5" s="1882" t="s">
        <v>803</v>
      </c>
      <c r="AA5" s="1885" t="s">
        <v>747</v>
      </c>
      <c r="AB5" s="1885" t="s">
        <v>759</v>
      </c>
      <c r="AC5" s="1885" t="s">
        <v>760</v>
      </c>
      <c r="AD5" s="1885" t="s">
        <v>700</v>
      </c>
      <c r="AE5" s="1885" t="s">
        <v>881</v>
      </c>
      <c r="AF5" s="1885" t="s">
        <v>243</v>
      </c>
      <c r="AG5" s="1885" t="s">
        <v>761</v>
      </c>
      <c r="AH5" s="1885" t="s">
        <v>748</v>
      </c>
      <c r="AI5" s="1885" t="s">
        <v>749</v>
      </c>
      <c r="AJ5" s="1885" t="s">
        <v>762</v>
      </c>
      <c r="AK5" s="1885" t="s">
        <v>763</v>
      </c>
      <c r="AL5" s="1885" t="s">
        <v>764</v>
      </c>
      <c r="AM5" s="1900" t="s">
        <v>765</v>
      </c>
      <c r="AN5" s="1885" t="s">
        <v>323</v>
      </c>
      <c r="AO5" s="1885" t="s">
        <v>751</v>
      </c>
      <c r="AP5" s="1885" t="s">
        <v>752</v>
      </c>
      <c r="AQ5" s="1885" t="s">
        <v>779</v>
      </c>
      <c r="AR5" s="1885" t="s">
        <v>780</v>
      </c>
      <c r="AS5" s="1885" t="s">
        <v>782</v>
      </c>
      <c r="AT5" s="1885" t="s">
        <v>775</v>
      </c>
      <c r="AU5" s="1885" t="s">
        <v>1111</v>
      </c>
      <c r="AV5" s="1885" t="s">
        <v>435</v>
      </c>
      <c r="AW5" s="1885" t="s">
        <v>766</v>
      </c>
      <c r="AX5" s="1885" t="s">
        <v>705</v>
      </c>
      <c r="BU5" s="1885" t="s">
        <v>1028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781</v>
      </c>
      <c r="B9" s="745" t="s">
        <v>320</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2005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1846</v>
      </c>
      <c r="AA9" s="551" t="str">
        <f>IF(ISNUMBER(IF(J_V="SI",Datos!L9,Datos!L9+Datos!AB9)-IF(Monitorios="SI",Datos!CD9,0)),
                          IF(J_V="SI",Datos!L9,Datos!L9+Datos!AB9)-IF(Monitorios="SI",Datos!CD9,0),
                          " - ")</f>
        <v xml:space="preserve"> - </v>
      </c>
      <c r="AB9" s="549"/>
      <c r="AC9" s="549"/>
      <c r="AD9" s="563"/>
      <c r="AE9" s="563">
        <f>IF(ISNUMBER(Datos!R9),Datos!R9," - ")</f>
        <v>7393</v>
      </c>
      <c r="AF9" s="693" t="str">
        <f>IF(ISNUMBER(Datos!BV9),Datos!BV9," - ")</f>
        <v xml:space="preserve"> - </v>
      </c>
      <c r="AG9" s="552" t="str">
        <f>IF(ISNUMBER(Datos!DV9),Datos!DV9," - ")</f>
        <v xml:space="preserve"> - </v>
      </c>
      <c r="AH9" s="553"/>
      <c r="AI9" s="554"/>
      <c r="AJ9" s="552">
        <f>IF(ISNUMBER(Datos!M9),Datos!M9," - ")</f>
        <v>1547</v>
      </c>
      <c r="AK9" s="693">
        <f>IF(ISNUMBER(Datos!N9),Datos!N9," - ")</f>
        <v>3291</v>
      </c>
      <c r="AL9" s="693" t="str">
        <f>IF(ISNUMBER(Datos!BW9),Datos!BW9," - ")</f>
        <v xml:space="preserve"> - </v>
      </c>
      <c r="AM9" s="762" t="str">
        <f>IF(ISNUMBER(Datos!BX9),Datos!BX9," - ")</f>
        <v xml:space="preserve"> - </v>
      </c>
      <c r="AN9" s="763"/>
      <c r="AO9" s="764">
        <f>IF(ISNUMBER(((NºAsuntos!I9/NºAsuntos!G9)*11)/factor_trimestre),((NºAsuntos!I9/NºAsuntos!G9)*11)/factor_trimestre," - ")</f>
        <v>5.7503689408559424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2.1979541056123861E-2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1</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74</v>
      </c>
      <c r="Z10" s="805">
        <f>IF(ISNUMBER(Datos!Q10),Datos!Q10," - ")</f>
        <v>15</v>
      </c>
      <c r="AA10" s="551">
        <f>IF(ISNUMBER(Datos!L10),Datos!L10,"-")</f>
        <v>67</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25</v>
      </c>
      <c r="AK10" s="693">
        <f>IF(ISNUMBER(Datos!N10),Datos!N10," - ")</f>
        <v>36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9.9594594594594597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281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2217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74</v>
      </c>
      <c r="Z14" s="1210">
        <f t="shared" si="3"/>
        <v>1866</v>
      </c>
      <c r="AA14" s="1199">
        <f t="shared" si="3"/>
        <v>67</v>
      </c>
      <c r="AB14" s="1199">
        <f t="shared" si="3"/>
        <v>0</v>
      </c>
      <c r="AC14" s="1199">
        <f t="shared" si="3"/>
        <v>0</v>
      </c>
      <c r="AD14" s="1199">
        <f t="shared" si="3"/>
        <v>0</v>
      </c>
      <c r="AE14" s="1199">
        <f t="shared" si="3"/>
        <v>7735</v>
      </c>
      <c r="AF14" s="1211">
        <f t="shared" si="3"/>
        <v>0</v>
      </c>
      <c r="AG14" s="1211">
        <f t="shared" si="3"/>
        <v>0</v>
      </c>
      <c r="AH14" s="1211">
        <f t="shared" si="3"/>
        <v>0</v>
      </c>
      <c r="AI14" s="1211">
        <f t="shared" si="3"/>
        <v>0</v>
      </c>
      <c r="AJ14" s="1211">
        <f t="shared" si="3"/>
        <v>1572</v>
      </c>
      <c r="AK14" s="1211">
        <f t="shared" si="3"/>
        <v>3327</v>
      </c>
      <c r="AL14" s="1211">
        <f t="shared" si="3"/>
        <v>0</v>
      </c>
      <c r="AM14" s="1211">
        <f t="shared" si="3"/>
        <v>0</v>
      </c>
      <c r="AN14" s="1211">
        <f t="shared" si="3"/>
        <v>0</v>
      </c>
      <c r="AO14" s="1203">
        <f>IF(ISNUMBER(((NºAsuntos!I14/NºAsuntos!G14)*11)/factor_trimestre),((NºAsuntos!I14/NºAsuntos!G14)*11)/factor_trimestre," - ")</f>
        <v>5.7853685987619583</v>
      </c>
      <c r="AP14" s="1213" t="str">
        <f>IF(ISNUMBER(Datos!CI14/Datos!CJ14),Datos!CI14/Datos!CJ14," - ")</f>
        <v xml:space="preserve"> - </v>
      </c>
      <c r="AQ14" s="1236">
        <f t="shared" ref="AQ14:AV14" si="4">SUBTOTAL(9,AQ9:AQ13)</f>
        <v>0</v>
      </c>
      <c r="AR14" s="1236">
        <f t="shared" si="4"/>
        <v>2.0519795410561237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510</v>
      </c>
      <c r="C16" s="765" t="str">
        <f>Datos!A16</f>
        <v xml:space="preserve">Jdos. Instrucción                               </v>
      </c>
      <c r="D16" s="593"/>
      <c r="E16" s="1558">
        <f>IF(ISNUMBER(Datos!AQ16),Datos!AQ16," - ")</f>
        <v>3</v>
      </c>
      <c r="F16" s="543">
        <f>IF(ISNUMBER(AA16+Y16-Datos!J16-K16),AA16+Y16-Datos!J16-K16," - ")</f>
        <v>1645</v>
      </c>
      <c r="G16" s="552">
        <f>IF(ISNUMBER(IF(D_I="SI",Datos!I16,Datos!I16+Datos!AC16)),IF(D_I="SI",Datos!I16,Datos!I16+Datos!AC16)," - ")</f>
        <v>1409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461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8658</v>
      </c>
      <c r="Z16" s="805">
        <f>IF(ISNUMBER(Datos!Q16),Datos!Q16," - ")</f>
        <v>389</v>
      </c>
      <c r="AA16" s="551">
        <f>IF(ISNUMBER(IF(D_I="SI",Datos!L16,Datos!L16+Datos!AF16)),IF(D_I="SI",Datos!L16,Datos!L16+Datos!AF16)," - ")</f>
        <v>1386</v>
      </c>
      <c r="AB16" s="549"/>
      <c r="AC16" s="549"/>
      <c r="AD16" s="563"/>
      <c r="AE16" s="563">
        <f>IF(ISNUMBER(Datos!R16),Datos!R16," - ")</f>
        <v>313</v>
      </c>
      <c r="AF16" s="693" t="str">
        <f>IF(ISNUMBER(Datos!BV16),Datos!BV16," - ")</f>
        <v xml:space="preserve"> - </v>
      </c>
      <c r="AG16" s="552"/>
      <c r="AH16" s="553"/>
      <c r="AI16" s="554"/>
      <c r="AJ16" s="552">
        <f>IF(ISNUMBER(Datos!M16),Datos!M16," - ")</f>
        <v>1537</v>
      </c>
      <c r="AK16" s="693">
        <f>IF(ISNUMBER(Datos!N16),Datos!N16," - ")</f>
        <v>4617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1.7609147609147611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510</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917</v>
      </c>
      <c r="Z18" s="805">
        <f>IF(ISNUMBER(Datos!Q18),Datos!Q18," - ")</f>
        <v>40</v>
      </c>
      <c r="AA18" s="551">
        <f>IF(ISNUMBER(Datos!L18),Datos!L18,"-")</f>
        <v>92</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267</v>
      </c>
      <c r="AK18" s="693">
        <f>IF(ISNUMBER(Datos!N18),Datos!N18," - ")</f>
        <v>652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1.1035986913849509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510</v>
      </c>
      <c r="C21" s="747" t="str">
        <f>Datos!A21</f>
        <v xml:space="preserve">Jdos. de lo Penal                               </v>
      </c>
      <c r="D21" s="601"/>
      <c r="E21" s="1558">
        <f>IF(ISNUMBER(Datos!AQ21),Datos!AQ21," - ")</f>
        <v>1</v>
      </c>
      <c r="F21" s="552">
        <f>IF(ISNUMBER(Datos!L21+Datos!K21-Datos!J21),Datos!L21+Datos!K21-Datos!J21," - ")</f>
        <v>559</v>
      </c>
      <c r="G21" s="552">
        <f>IF(ISNUMBER(Datos!I21),Datos!I21," - ")</f>
        <v>532</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1179</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399</v>
      </c>
      <c r="Z21" s="805">
        <f>IF(ISNUMBER(Datos!Q21),Datos!Q21," - ")</f>
        <v>1511</v>
      </c>
      <c r="AA21" s="551">
        <f>IF(ISNUMBER(Datos!L21),Datos!L21,"-")</f>
        <v>612</v>
      </c>
      <c r="AB21" s="549"/>
      <c r="AC21" s="549"/>
      <c r="AD21" s="563"/>
      <c r="AE21" s="563">
        <f>IF(ISNUMBER(Datos!R21),Datos!R21," - ")</f>
        <v>2091</v>
      </c>
      <c r="AF21" s="693" t="str">
        <f>IF(ISNUMBER(Datos!BV21),Datos!BV21," - ")</f>
        <v xml:space="preserve"> - </v>
      </c>
      <c r="AG21" s="552"/>
      <c r="AH21" s="553"/>
      <c r="AI21" s="554"/>
      <c r="AJ21" s="552">
        <f>IF(ISNUMBER(Datos!M21),Datos!M21," - ")</f>
        <v>369</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16.872180451127818</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2204</v>
      </c>
      <c r="G23" s="1197">
        <f>SUBTOTAL(9,G16:G22)</f>
        <v>2044</v>
      </c>
      <c r="H23" s="1240">
        <f>SUBTOTAL(9,H16:H22)</f>
        <v>0</v>
      </c>
      <c r="I23" s="1217">
        <f>SUBTOTAL(9,I16:I22)</f>
        <v>0</v>
      </c>
      <c r="J23" s="1164">
        <f>SUBTOTAL(9,J15:J22)</f>
        <v>0</v>
      </c>
      <c r="K23" s="1240">
        <f t="shared" ref="K23:S23" si="5">SUBTOTAL(9,K16:K22)</f>
        <v>0</v>
      </c>
      <c r="L23" s="1240">
        <f t="shared" si="5"/>
        <v>0</v>
      </c>
      <c r="M23" s="1240">
        <f t="shared" si="5"/>
        <v>0</v>
      </c>
      <c r="N23" s="1240">
        <f t="shared" si="5"/>
        <v>1693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9974</v>
      </c>
      <c r="Z23" s="1240">
        <f t="shared" si="6"/>
        <v>1940</v>
      </c>
      <c r="AA23" s="1240">
        <f t="shared" si="6"/>
        <v>2090</v>
      </c>
      <c r="AB23" s="1240">
        <f t="shared" si="6"/>
        <v>0</v>
      </c>
      <c r="AC23" s="1240">
        <f t="shared" si="6"/>
        <v>0</v>
      </c>
      <c r="AD23" s="1240">
        <f t="shared" si="6"/>
        <v>0</v>
      </c>
      <c r="AE23" s="1240">
        <f t="shared" si="6"/>
        <v>2424</v>
      </c>
      <c r="AF23" s="1240">
        <f t="shared" si="6"/>
        <v>0</v>
      </c>
      <c r="AG23" s="1240">
        <f t="shared" si="6"/>
        <v>0</v>
      </c>
      <c r="AH23" s="1240">
        <f t="shared" si="6"/>
        <v>0</v>
      </c>
      <c r="AI23" s="1240">
        <f t="shared" si="6"/>
        <v>0</v>
      </c>
      <c r="AJ23" s="1240">
        <f t="shared" si="6"/>
        <v>2173</v>
      </c>
      <c r="AK23" s="1240">
        <f t="shared" si="6"/>
        <v>5269</v>
      </c>
      <c r="AL23" s="1240">
        <f t="shared" si="6"/>
        <v>0</v>
      </c>
      <c r="AM23" s="1240">
        <f t="shared" si="6"/>
        <v>0</v>
      </c>
      <c r="AN23" s="1240">
        <f t="shared" si="6"/>
        <v>0</v>
      </c>
      <c r="AO23" s="1242">
        <f>IF(ISNUMBER(((NºAsuntos!I23/NºAsuntos!G23)*11)/factor_trimestre),((NºAsuntos!I23/NºAsuntos!G23)*11)/factor_trimestre," - ")</f>
        <v>2.3049929817525565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2244</v>
      </c>
      <c r="G31" s="1117">
        <f t="shared" si="12"/>
        <v>2084</v>
      </c>
      <c r="H31" s="1118">
        <f t="shared" si="12"/>
        <v>0</v>
      </c>
      <c r="I31" s="1117">
        <f t="shared" si="12"/>
        <v>0</v>
      </c>
      <c r="J31" s="1119">
        <f t="shared" si="12"/>
        <v>0</v>
      </c>
      <c r="K31" s="1117">
        <f t="shared" si="12"/>
        <v>0</v>
      </c>
      <c r="L31" s="1120">
        <f t="shared" si="12"/>
        <v>0</v>
      </c>
      <c r="M31" s="1117">
        <f t="shared" si="12"/>
        <v>0</v>
      </c>
      <c r="N31" s="1118">
        <f t="shared" si="12"/>
        <v>3910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10048</v>
      </c>
      <c r="Z31" s="1124">
        <f t="shared" si="13"/>
        <v>3806</v>
      </c>
      <c r="AA31" s="1125">
        <f t="shared" si="13"/>
        <v>2157</v>
      </c>
      <c r="AB31" s="1125">
        <f t="shared" si="13"/>
        <v>0</v>
      </c>
      <c r="AC31" s="1125">
        <f t="shared" si="13"/>
        <v>0</v>
      </c>
      <c r="AD31" s="1126">
        <f t="shared" si="13"/>
        <v>0</v>
      </c>
      <c r="AE31" s="1126">
        <f t="shared" si="13"/>
        <v>10159</v>
      </c>
      <c r="AF31" s="1127">
        <f t="shared" si="13"/>
        <v>0</v>
      </c>
      <c r="AG31" s="1128">
        <f t="shared" si="13"/>
        <v>0</v>
      </c>
      <c r="AH31" s="1129">
        <f t="shared" si="13"/>
        <v>0</v>
      </c>
      <c r="AI31" s="1127">
        <f t="shared" si="13"/>
        <v>0</v>
      </c>
      <c r="AJ31" s="1117">
        <f t="shared" si="13"/>
        <v>3745</v>
      </c>
      <c r="AK31" s="1117">
        <f t="shared" si="13"/>
        <v>8596</v>
      </c>
      <c r="AL31" s="1117">
        <f t="shared" si="13"/>
        <v>0</v>
      </c>
      <c r="AM31" s="1130">
        <f t="shared" si="13"/>
        <v>0</v>
      </c>
      <c r="AN31" s="1120">
        <f>IF(ISNUMBER(Datos!K31/Datos!J31),Datos!K31/Datos!J31," - ")</f>
        <v>0.98013100436681222</v>
      </c>
      <c r="AO31" s="1120">
        <f>IF(ISNUMBER(FIND("06",Criterios!A8,1)),(IF(ISNUMBER(((Datos!R31/Datos!Q31)*11)/factor_trimestre),((Datos!R31/Datos!Q31)*11)/factor_trimestre," - ")),(IF(ISNUMBER(((Datos!L31/Datos!K31)*11)/factor_trimestre),((Datos!L31/Datos!K31)*11)/factor_trimestre," - ")))</f>
        <v>3.9984963243484075</v>
      </c>
      <c r="AP31" s="1131" t="str">
        <f>IF(ISNUMBER(Datos!CI31/Datos!CJ31),Datos!CI31/Datos!CJ31," - ")</f>
        <v xml:space="preserve"> - </v>
      </c>
      <c r="AQ31" s="1131">
        <f>IF(OR(ISNUMBER(FIND("01",Criterios!A8,1)),ISNUMBER(FIND("02",Criterios!A8,1)),ISNUMBER(FIND("03",Criterios!A8,1)),ISNUMBER(FIND("04",Criterios!A8,1))),(J31-Y31+K31)/(F31-K31),(I31-Y31+K31)/(F31-K31))</f>
        <v>-4.4777183600713011</v>
      </c>
      <c r="AR31" s="1131">
        <f>IF(ISNUMBER((Datos!P31-Datos!Q31+O31)/(Datos!R31-Datos!P31+Datos!Q31-O31)),(Datos!P31-Datos!Q31+O31)/(Datos!R31-Datos!P31+Datos!Q31-O31)," - ")</f>
        <v>1.0343112879164595E-2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463.11111111111109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875.17785947445316</v>
      </c>
      <c r="G33" s="674">
        <f>IF(ISNUMBER(STDEV(G8:G30)),STDEV(G8:G30),"-")</f>
        <v>752.47947554143366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840.04505290436111</v>
      </c>
      <c r="AK33" s="276"/>
      <c r="AL33" s="276">
        <f>IF(ISNUMBER(STDEV(AL8:AL30)),STDEV(AL8:AL30),"-")</f>
        <v>0</v>
      </c>
      <c r="AM33" s="278">
        <f>IF(ISNUMBER(STDEV(AM8:AM30)),STDEV(AM8:AM30),"-")</f>
        <v>0</v>
      </c>
      <c r="AN33" s="660">
        <f>IF(ISNUMBER(STDEV(AN8:AN30)),STDEV(AN8:AN30),"-")</f>
        <v>0</v>
      </c>
      <c r="AO33" s="661">
        <f>IF(ISNUMBER(STDEV(AO8:AO30)),STDEV(AO8:AO30),"-")</f>
        <v>5.2058111013082833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8U/wxizxmGEN6TTnkz56W0klo19RaD3CwHcZg1OCRXYR4lvrctuFRe75nZjGBjdy4XhPPt9gnTXq3RnhDjtkJg==" saltValue="aU21+IbeFbiSl0qcL0V7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819</v>
      </c>
      <c r="B4" s="1933" t="s">
        <v>929</v>
      </c>
      <c r="C4" s="1933" t="s">
        <v>820</v>
      </c>
      <c r="D4" s="1933" t="s">
        <v>887</v>
      </c>
      <c r="E4" s="1935" t="s">
        <v>888</v>
      </c>
      <c r="F4" s="1933" t="s">
        <v>821</v>
      </c>
      <c r="G4" s="1935" t="s">
        <v>597</v>
      </c>
      <c r="H4" s="1928" t="s">
        <v>822</v>
      </c>
      <c r="I4" s="1928" t="s">
        <v>823</v>
      </c>
      <c r="J4" s="1928" t="s">
        <v>824</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TPs2Ft1GNFqyJsYm/LTHI+PccK9S9Mum0RaBE+lWRKb2BTU2KplbxEq8t7BlTNtPBb1AULbU+VPSk7BYtWjM/w==" saltValue="/Z00IqQ4Fb+1vtx0wGlq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635</v>
      </c>
      <c r="DL5" s="1774" t="s">
        <v>639</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998</v>
      </c>
      <c r="ES5" s="1762" t="s">
        <v>1000</v>
      </c>
      <c r="ET5" s="1759" t="s">
        <v>1088</v>
      </c>
      <c r="EU5" s="1759" t="s">
        <v>1089</v>
      </c>
      <c r="EV5" s="1870" t="s">
        <v>1110</v>
      </c>
      <c r="EW5" s="1870" t="s">
        <v>1116</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636</v>
      </c>
      <c r="DL8" s="532" t="s">
        <v>637</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 t="s">
        <v>989</v>
      </c>
      <c r="ER8" s="53" t="s">
        <v>999</v>
      </c>
      <c r="ES8" s="532" t="s">
        <v>1001</v>
      </c>
      <c r="ET8" s="1519" t="s">
        <v>1090</v>
      </c>
      <c r="EU8" s="1519" t="s">
        <v>1091</v>
      </c>
      <c r="EV8" s="165" t="s">
        <v>1099</v>
      </c>
      <c r="EW8" s="165">
        <v>153</v>
      </c>
      <c r="EX8" s="532" t="s">
        <v>1152</v>
      </c>
      <c r="EY8" s="532" t="s">
        <v>1166</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zZutqK8MaVH8q7oIzeWWhmHtA+aJ+pD0wh5BpjI7C5u14Gwx5ajaKsqzGLYIZkd6Elnr1wJ1TEp6NnwxJlpFA==" saltValue="l4UhZNV+ymcaEadPk8MZ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GANDIA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740</v>
      </c>
      <c r="F5" s="1914" t="s">
        <v>526</v>
      </c>
      <c r="G5" s="1885" t="s">
        <v>173</v>
      </c>
      <c r="H5" s="1885" t="s">
        <v>773</v>
      </c>
      <c r="I5" s="1885" t="s">
        <v>741</v>
      </c>
      <c r="J5" s="1885" t="s">
        <v>858</v>
      </c>
      <c r="K5" s="1885" t="s">
        <v>742</v>
      </c>
      <c r="L5" s="1885" t="s">
        <v>697</v>
      </c>
      <c r="M5" s="1917" t="s">
        <v>771</v>
      </c>
      <c r="N5" s="1885" t="s">
        <v>915</v>
      </c>
      <c r="O5" s="1885" t="s">
        <v>874</v>
      </c>
      <c r="P5" s="1885" t="s">
        <v>229</v>
      </c>
      <c r="Q5" s="1920" t="s">
        <v>870</v>
      </c>
      <c r="R5" s="1920" t="s">
        <v>916</v>
      </c>
      <c r="S5" s="1885" t="s">
        <v>774</v>
      </c>
      <c r="T5" s="1920" t="s">
        <v>743</v>
      </c>
      <c r="U5" s="1920" t="s">
        <v>1026</v>
      </c>
      <c r="V5" s="1920" t="s">
        <v>1027</v>
      </c>
      <c r="W5" s="1903" t="s">
        <v>799</v>
      </c>
      <c r="X5" s="1906" t="s">
        <v>744</v>
      </c>
      <c r="Y5" s="1903" t="s">
        <v>745</v>
      </c>
      <c r="Z5" s="1903" t="s">
        <v>746</v>
      </c>
      <c r="AA5" s="1885" t="s">
        <v>875</v>
      </c>
      <c r="AB5" s="1885" t="s">
        <v>881</v>
      </c>
      <c r="AC5" s="1885" t="s">
        <v>243</v>
      </c>
      <c r="AD5" s="1891" t="s">
        <v>241</v>
      </c>
      <c r="AE5" s="1885" t="s">
        <v>876</v>
      </c>
      <c r="AF5" s="1894" t="s">
        <v>877</v>
      </c>
      <c r="AG5" s="1897" t="s">
        <v>706</v>
      </c>
      <c r="AH5" s="1885" t="s">
        <v>707</v>
      </c>
      <c r="AI5" s="1885" t="s">
        <v>797</v>
      </c>
      <c r="AJ5" s="1900" t="s">
        <v>798</v>
      </c>
      <c r="AK5" s="1897" t="s">
        <v>244</v>
      </c>
      <c r="AL5" s="1885" t="s">
        <v>750</v>
      </c>
      <c r="AM5" s="1885" t="s">
        <v>321</v>
      </c>
      <c r="AN5" s="1885" t="s">
        <v>322</v>
      </c>
      <c r="AO5" s="1885" t="s">
        <v>323</v>
      </c>
      <c r="AP5" s="1885" t="s">
        <v>751</v>
      </c>
      <c r="AQ5" s="1885" t="s">
        <v>324</v>
      </c>
      <c r="AR5" s="1885" t="s">
        <v>752</v>
      </c>
      <c r="AS5" s="1885" t="s">
        <v>753</v>
      </c>
      <c r="AT5" s="1885" t="s">
        <v>754</v>
      </c>
      <c r="AU5" s="1885" t="s">
        <v>782</v>
      </c>
      <c r="AV5" s="1885" t="s">
        <v>775</v>
      </c>
      <c r="AW5" s="1885" t="s">
        <v>1111</v>
      </c>
      <c r="AX5" s="1885" t="s">
        <v>1115</v>
      </c>
      <c r="AY5" s="1885" t="s">
        <v>1117</v>
      </c>
      <c r="AZ5" s="1885" t="s">
        <v>776</v>
      </c>
      <c r="BA5" s="1885" t="s">
        <v>1167</v>
      </c>
      <c r="BB5" s="1885" t="s">
        <v>755</v>
      </c>
      <c r="BC5" s="1885" t="s">
        <v>705</v>
      </c>
      <c r="BW5" s="1885" t="s">
        <v>1028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0.17692740574001126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0.12510656837650563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pVqxw1r5tfx/s4Iy7xqj7ie30sodOmHBKN9yN8v9v8sD50T5ygx4i2/sNZcJGZWrdcmVwk7lghXO/zEav3KzQ==" saltValue="i2Uy/+g+v9Uf7ea5wf6G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umbxsLujNBmPiptLs4WVdNY05LQ2GkZD1fAXYx9ASL3oBYtu8cPTGH2aE+1lXMfXZfsqHfx64YMibRUrNHZQCA==" saltValue="hAbkkFgq/usEHsD6913P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GANDIA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987</v>
      </c>
      <c r="L5" s="1572" t="s">
        <v>1050</v>
      </c>
      <c r="M5" s="1572" t="s">
        <v>1154</v>
      </c>
      <c r="N5" s="1575" t="s">
        <v>986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981</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4126</v>
      </c>
      <c r="D9" s="452">
        <f>IF(ISNUMBER(C9/Datos!BH9),C9/Datos!BH9," - ")</f>
        <v>687.66666666666663</v>
      </c>
      <c r="E9" s="451">
        <f>IF(ISNUMBER(IF(J_V="SI",Datos!J9,Datos!J9+Datos!Z9)),IF(J_V="SI",Datos!J9,Datos!J9+Datos!Z9)," - ")</f>
        <v>9338</v>
      </c>
      <c r="F9" s="452">
        <f>IF(ISNUMBER(E9/B9),E9/B9," - ")</f>
        <v>1556.3333333333333</v>
      </c>
      <c r="G9" s="451">
        <f>IF(ISNUMBER(IF(J_V="SI",Datos!K9,Datos!K9+Datos!AA9)),IF(J_V="SI",Datos!K9,Datos!K9+Datos!AA9)," - ")</f>
        <v>8809</v>
      </c>
      <c r="H9" s="452">
        <f>IF(ISNUMBER(G9/B9),G9/B9," - ")</f>
        <v>1468.1666666666667</v>
      </c>
      <c r="I9" s="451">
        <f>IF(ISNUMBER(IF(J_V="SI",Datos!L9,Datos!L9+Datos!AB9)),IF(J_V="SI",Datos!L9,Datos!L9+Datos!AB9)," - ")</f>
        <v>4605</v>
      </c>
      <c r="J9" s="452">
        <f>IF(ISNUMBER(I9/B9),I9/B9," - ")</f>
        <v>767.5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101</v>
      </c>
      <c r="F10" s="452">
        <f>IF(ISNUMBER(E10/B10),E10/B10," - ")</f>
        <v>101</v>
      </c>
      <c r="G10" s="451">
        <f>IF(ISNUMBER(Datos!K10),Datos!K10," - ")</f>
        <v>74</v>
      </c>
      <c r="H10" s="452">
        <f>IF(ISNUMBER(G10/B10),G10/B10," - ")</f>
        <v>74</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2</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4167</v>
      </c>
      <c r="D14" s="1147" t="str">
        <f>IF(ISNUMBER(C14/Datos!BI14),C14/Datos!BI14," - ")</f>
        <v xml:space="preserve"> - </v>
      </c>
      <c r="E14" s="1146">
        <f>SUBTOTAL(9,E8:E13)</f>
        <v>9441</v>
      </c>
      <c r="F14" s="1147">
        <f>IF(ISNUMBER(E14/B14),E14/B14," - ")</f>
        <v>1348.7142857142858</v>
      </c>
      <c r="G14" s="1146">
        <f>SUBTOTAL(9,G8:G13)</f>
        <v>8885</v>
      </c>
      <c r="H14" s="1147">
        <f>IF(ISNUMBER(G14/B14),G14/B14," - ")</f>
        <v>1269.2857142857142</v>
      </c>
      <c r="I14" s="1146">
        <f>SUBTOTAL(9,I8:I13)</f>
        <v>4673</v>
      </c>
      <c r="J14" s="1147">
        <f>IF(ISNUMBER(I14/B14),I14/B14," - ")</f>
        <v>667.57142857142856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1409</v>
      </c>
      <c r="D16" s="452">
        <f>IF(ISNUMBER(C16/Datos!BH16),C16/Datos!BH16," - ")</f>
        <v>469.66666666666669</v>
      </c>
      <c r="E16" s="451">
        <f>IF(ISNUMBER(IF(D_I="SI",Datos!J16,Datos!J16+Datos!AD16)),IF(D_I="SI",Datos!J16,Datos!J16+Datos!AD16)," - ")</f>
        <v>8399</v>
      </c>
      <c r="F16" s="452">
        <f>IF(ISNUMBER(E16/B16),E16/B16," - ")</f>
        <v>2799.6666666666665</v>
      </c>
      <c r="G16" s="451">
        <f>IF(ISNUMBER(IF(D_I="SI",Datos!K16,Datos!K16+Datos!AE16)),IF(D_I="SI",Datos!K16,Datos!K16+Datos!AE16)," - ")</f>
        <v>8658</v>
      </c>
      <c r="H16" s="452">
        <f>IF(ISNUMBER(G16/B16),G16/B16," - ")</f>
        <v>2886</v>
      </c>
      <c r="I16" s="451">
        <f>IF(ISNUMBER(IF(D_I="SI",Datos!L16,Datos!L16+Datos!AF16)),IF(D_I="SI",Datos!L16,Datos!L16+Datos!AF16)," - ")</f>
        <v>1386</v>
      </c>
      <c r="J16" s="452">
        <f>IF(ISNUMBER(I16/B16),I16/B16," - ")</f>
        <v>462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906</v>
      </c>
      <c r="F18" s="452">
        <f>IF(ISNUMBER(E18/B18),E18/B18," - ")</f>
        <v>906</v>
      </c>
      <c r="G18" s="451">
        <f>IF(ISNUMBER(IF(D_I="SI",Datos!K18,Datos!K18+Datos!AE18)),IF(D_I="SI",Datos!K18,Datos!K18+Datos!AE18)," - ")</f>
        <v>917</v>
      </c>
      <c r="H18" s="452">
        <f>IF(ISNUMBER(G18/B18),G18/B18," - ")</f>
        <v>917</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532</v>
      </c>
      <c r="D21" s="452">
        <f>IF(ISNUMBER(C21/Datos!BH21),C21/Datos!BH21," - ")</f>
        <v>532</v>
      </c>
      <c r="E21" s="451">
        <f>IF(ISNUMBER(Datos!J21),Datos!J21," - ")</f>
        <v>452</v>
      </c>
      <c r="F21" s="452">
        <f>IF(ISNUMBER(E21/B21),E21/B21," - ")</f>
        <v>452</v>
      </c>
      <c r="G21" s="451">
        <f>IF(ISNUMBER(Datos!K21),Datos!K21," - ")</f>
        <v>399</v>
      </c>
      <c r="H21" s="452">
        <f>IF(ISNUMBER(G21/B21),G21/B21," - ")</f>
        <v>399</v>
      </c>
      <c r="I21" s="451">
        <f>IF(ISNUMBER(Datos!L21),Datos!L21," - ")</f>
        <v>612</v>
      </c>
      <c r="J21" s="452">
        <f>IF(ISNUMBER(I21/B21),I21/B21," - ")</f>
        <v>612</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2044</v>
      </c>
      <c r="D23" s="1147" t="str">
        <f>IF(ISNUMBER(C23/Datos!BI23),C23/Datos!BI23," - ")</f>
        <v xml:space="preserve"> - </v>
      </c>
      <c r="E23" s="1146">
        <f>SUBTOTAL(9,E15:E22)</f>
        <v>9757</v>
      </c>
      <c r="F23" s="1147">
        <f>IF(ISNUMBER(E23/B23),E23/B23," - ")</f>
        <v>1951.4</v>
      </c>
      <c r="G23" s="1146">
        <f>SUBTOTAL(9,G15:G22)</f>
        <v>9974</v>
      </c>
      <c r="H23" s="1147">
        <f>IF(ISNUMBER(G23/B23),G23/B23," - ")</f>
        <v>1994.8</v>
      </c>
      <c r="I23" s="1146">
        <f>SUBTOTAL(9,I15:I22)</f>
        <v>2090</v>
      </c>
      <c r="J23" s="1147">
        <f>IF(ISNUMBER(I23/B23),I23/B23," - ")</f>
        <v>418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6211</v>
      </c>
      <c r="D31" s="1085" t="str">
        <f>IF(ISNUMBER(C31/Datos!BI31),C31/Datos!BI31," - ")</f>
        <v xml:space="preserve"> - </v>
      </c>
      <c r="E31" s="1084">
        <f>SUBTOTAL(9,E9:E30)</f>
        <v>19198</v>
      </c>
      <c r="F31" s="1085">
        <f>IF(ISNUMBER(E31/B31),E31/B31," - ")</f>
        <v>1745.2727272727273</v>
      </c>
      <c r="G31" s="1084">
        <f>SUBTOTAL(9,G9:G30)</f>
        <v>18859</v>
      </c>
      <c r="H31" s="1085">
        <f>IF(ISNUMBER(G31/B31),G31/B31," - ")</f>
        <v>1714.4545454545455</v>
      </c>
      <c r="I31" s="1084">
        <f>SUBTOTAL(9,I9:I30)</f>
        <v>6763</v>
      </c>
      <c r="J31" s="1085">
        <f>IF(ISNUMBER(I31/B31),I31/B31," - ")</f>
        <v>614.81818181818187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ZIH1NyBk8TLSuiou6xjlqQOfC+agvnOcRLwP98ZYwlFZT0VW3EmHPv4Q/oWIk6VCdQTROseCU2hzoZgIWArLw==" saltValue="79G2FvHBz5/EA0VLu+S2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GANDIA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740</v>
      </c>
      <c r="F5" s="1914" t="s">
        <v>526</v>
      </c>
      <c r="G5" s="1885" t="s">
        <v>173</v>
      </c>
      <c r="H5" s="1885" t="s">
        <v>889</v>
      </c>
      <c r="I5" s="1885" t="s">
        <v>890</v>
      </c>
      <c r="J5" s="1885" t="s">
        <v>893</v>
      </c>
      <c r="K5" s="1885" t="s">
        <v>894</v>
      </c>
      <c r="L5" s="1885" t="s">
        <v>771</v>
      </c>
      <c r="M5" s="1885" t="s">
        <v>915</v>
      </c>
      <c r="N5" s="1885" t="s">
        <v>895</v>
      </c>
      <c r="O5" s="1885" t="s">
        <v>891</v>
      </c>
      <c r="P5" s="1885" t="s">
        <v>229</v>
      </c>
      <c r="Q5" s="1885" t="s">
        <v>870</v>
      </c>
      <c r="R5" s="1885" t="s">
        <v>916</v>
      </c>
      <c r="S5" s="1885" t="str">
        <f>"Ingreso Computable 2003" &amp; IF(OR(EXACT(LEFT(boletin,2),"04"),EXACT(LEFT(boletin,2),"14"),EXACT(LEFT(boletin,2),"17"))," (Civil + Penal)","")</f>
        <v>Ingreso Computable 2003</v>
      </c>
      <c r="T5" s="1885" t="s">
        <v>892</v>
      </c>
      <c r="U5" s="1920" t="str">
        <f>"% Ingreso Computable 2003" &amp; IF(OR(EXACT(LEFT(boletin,2),"04"),EXACT(LEFT(boletin,2),"14"),EXACT(LEFT(boletin,2),"17"))," (Civil + Penal)","")</f>
        <v>% Ingreso Computable 2003</v>
      </c>
      <c r="V5" s="1920" t="s">
        <v>896</v>
      </c>
      <c r="W5" s="1885" t="s">
        <v>1020</v>
      </c>
      <c r="X5" s="1885" t="s">
        <v>1021</v>
      </c>
      <c r="Y5" s="1888" t="s">
        <v>861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897</v>
      </c>
      <c r="AC5" s="1944" t="s">
        <v>898</v>
      </c>
      <c r="AD5" s="1944" t="s">
        <v>899</v>
      </c>
      <c r="AE5" s="1944" t="s">
        <v>900</v>
      </c>
      <c r="AF5" s="1885" t="s">
        <v>901</v>
      </c>
      <c r="AG5" s="1885" t="s">
        <v>902</v>
      </c>
      <c r="AH5" s="1885" t="s">
        <v>903</v>
      </c>
      <c r="AI5" s="1885" t="s">
        <v>904</v>
      </c>
      <c r="AJ5" s="1885" t="s">
        <v>243</v>
      </c>
      <c r="AK5" s="1897" t="s">
        <v>706</v>
      </c>
      <c r="AL5" s="1897" t="s">
        <v>244</v>
      </c>
      <c r="AM5" s="1885" t="s">
        <v>750</v>
      </c>
      <c r="AN5" s="1885" t="s">
        <v>321</v>
      </c>
      <c r="AO5" s="1885" t="s">
        <v>322</v>
      </c>
      <c r="AP5" s="1885" t="s">
        <v>905</v>
      </c>
      <c r="AQ5" s="1885" t="s">
        <v>906</v>
      </c>
      <c r="AR5" s="1885" t="s">
        <v>907</v>
      </c>
      <c r="AS5" s="1885" t="s">
        <v>908</v>
      </c>
      <c r="AT5" s="1885" t="s">
        <v>909</v>
      </c>
      <c r="AU5" s="1885" t="s">
        <v>910</v>
      </c>
      <c r="AV5" s="1885" t="s">
        <v>911</v>
      </c>
      <c r="AW5" s="1885" t="s">
        <v>912</v>
      </c>
      <c r="AX5" s="1885" t="s">
        <v>1111</v>
      </c>
      <c r="AY5" s="1885" t="s">
        <v>1115</v>
      </c>
      <c r="AZ5" s="1885" t="s">
        <v>913</v>
      </c>
      <c r="BA5" s="1885" t="s">
        <v>914</v>
      </c>
      <c r="BB5" s="1885" t="s">
        <v>705</v>
      </c>
      <c r="BC5" s="1744" t="s">
        <v>921</v>
      </c>
      <c r="BD5" s="1744" t="s">
        <v>922</v>
      </c>
      <c r="BE5" s="1914" t="s">
        <v>923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320</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1</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74</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25</v>
      </c>
      <c r="AM10" s="914">
        <f>IF(ISNUMBER(Datos!N10+DatosP!N18),Datos!N10+DatosP!N18," - ")</f>
        <v>36</v>
      </c>
      <c r="AN10" s="914">
        <f>IF(ISNUMBER(Datos!BW10+DatosP!BW18),Datos!BW10+DatosP!BW18," - ")</f>
        <v>0</v>
      </c>
      <c r="AO10" s="915">
        <f>IF(ISNUMBER(Datos!BX10+DatosP!BX18),Datos!BX10+DatosP!BX18," - ")</f>
        <v>0</v>
      </c>
      <c r="AP10" s="917">
        <f>IF(ISNUMBER(((Datos!L10/Datos!K10)*11)/factor_trimestre),((Datos!L10/Datos!K10)*11)/factor_trimestre," - ")</f>
        <v>9.9594594594594597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186</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212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74</v>
      </c>
      <c r="AC14" s="1257">
        <f t="shared" si="1"/>
        <v>0</v>
      </c>
      <c r="AD14" s="1257">
        <f t="shared" si="1"/>
        <v>5</v>
      </c>
      <c r="AE14" s="1257">
        <f t="shared" si="1"/>
        <v>0</v>
      </c>
      <c r="AF14" s="1257">
        <f t="shared" si="1"/>
        <v>67</v>
      </c>
      <c r="AG14" s="1257">
        <f t="shared" si="1"/>
        <v>0</v>
      </c>
      <c r="AH14" s="1257">
        <f t="shared" si="1"/>
        <v>281</v>
      </c>
      <c r="AI14" s="1257">
        <f t="shared" si="1"/>
        <v>0</v>
      </c>
      <c r="AJ14" s="1257">
        <f t="shared" si="1"/>
        <v>0</v>
      </c>
      <c r="AK14" s="1257">
        <f t="shared" si="1"/>
        <v>0</v>
      </c>
      <c r="AL14" s="1257">
        <f t="shared" si="1"/>
        <v>25</v>
      </c>
      <c r="AM14" s="1257">
        <f t="shared" si="1"/>
        <v>36</v>
      </c>
      <c r="AN14" s="1257">
        <f t="shared" si="1"/>
        <v>0</v>
      </c>
      <c r="AO14" s="1257">
        <f t="shared" si="1"/>
        <v>0</v>
      </c>
      <c r="AP14" s="1262">
        <f>IF(ISNUMBER(((Datos!L14/Datos!K14)*11)/factor_trimestre),((Datos!L14/Datos!K14)*11)/factor_trimestre," - ")</f>
        <v>6.1146329240791779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-1.85</v>
      </c>
      <c r="AU14" s="1257" t="str">
        <f>IF(ISNUMBER((DatosP!#REF!-DatosP!#REF!+DatosP!#REF!)/(DatosP!#REF!+DatosP!#REF!-DatosP!#REF!-DatosP!#REF!)),(DatosP!#REF!-DatosP!#REF!+DatosP!#REF!)/(DatosP!#REF!+DatosP!#REF!-DatosP!#REF!-DatosP!#REF!)," - ")</f>
        <v xml:space="preserve"> - </v>
      </c>
      <c r="AV14" s="1263">
        <f>SUBTOTAL(9,AV9:AV13)</f>
        <v>1.81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2.3049929817525565</v>
      </c>
      <c r="AQ23" s="1262">
        <f>IF(ISNUMBER(((Datos!M23/Datos!L23)*11)/factor_trimestre),((Datos!M23/Datos!L23)*11)/factor_trimestre," - ")</f>
        <v>11.436842105263159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-9.2474728566080119E-2</v>
      </c>
      <c r="AW23" s="1265">
        <f>IF(ISNUMBER((Datos!Q23-Datos!R23)/(Datos!S23-Datos!Q23+Datos!R23)),(Datos!Q23-Datos!R23)/(Datos!S23-Datos!Q23+Datos!R23)," - ")</f>
        <v>-0.18840015570260801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756</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212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74</v>
      </c>
      <c r="AC31" s="1284">
        <f t="shared" si="9"/>
        <v>0</v>
      </c>
      <c r="AD31" s="1284">
        <f t="shared" si="9"/>
        <v>5</v>
      </c>
      <c r="AE31" s="1284">
        <f t="shared" si="9"/>
        <v>0</v>
      </c>
      <c r="AF31" s="1285">
        <f t="shared" si="9"/>
        <v>67</v>
      </c>
      <c r="AG31" s="1285">
        <f t="shared" si="9"/>
        <v>0</v>
      </c>
      <c r="AH31" s="1285">
        <f t="shared" si="9"/>
        <v>281</v>
      </c>
      <c r="AI31" s="1285">
        <f t="shared" si="9"/>
        <v>0</v>
      </c>
      <c r="AJ31" s="1286">
        <f t="shared" si="9"/>
        <v>0</v>
      </c>
      <c r="AK31" s="1286">
        <f t="shared" si="9"/>
        <v>0</v>
      </c>
      <c r="AL31" s="1278">
        <f t="shared" si="9"/>
        <v>25</v>
      </c>
      <c r="AM31" s="1278">
        <f t="shared" si="9"/>
        <v>36</v>
      </c>
      <c r="AN31" s="1278">
        <f t="shared" si="9"/>
        <v>0</v>
      </c>
      <c r="AO31" s="1278">
        <f t="shared" si="9"/>
        <v>0</v>
      </c>
      <c r="AP31" s="1278">
        <f>IF(ISNUMBER(((Datos!L31/Datos!K31)*11)/factor_trimestre),((Datos!L31/Datos!K31)*11)/factor_trimestre," - ")</f>
        <v>3.9984963243484075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1.0343112879164595E-2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2.8333333333333335</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40.531469255382291</v>
      </c>
      <c r="AC33" s="1008">
        <f>IF(ISNUMBER(STDEV(AC8:AC30)),STDEV(AC8:AC30),"-")</f>
        <v>0</v>
      </c>
      <c r="AD33" s="1011"/>
      <c r="AE33" s="1011"/>
      <c r="AF33" s="1011"/>
      <c r="AG33" s="1011"/>
      <c r="AH33" s="1011"/>
      <c r="AI33" s="1011"/>
      <c r="AJ33" s="1012">
        <f>IF(ISNUMBER(STDEV(AJ8:AJ30)),STDEV(AJ8:AJ30),"-")</f>
        <v>0</v>
      </c>
      <c r="AK33" s="1014"/>
      <c r="AL33" s="1006">
        <f>IF(ISNUMBER(STDEV(AL8:AL30)),STDEV(AL8:AL30),"-")</f>
        <v>12.909944487358056</v>
      </c>
      <c r="AM33" s="1006"/>
      <c r="AN33" s="1006">
        <f>IF(ISNUMBER(STDEV(AN8:AN30)),STDEV(AN8:AN30),"-")</f>
        <v>0</v>
      </c>
      <c r="AO33" s="1012">
        <f>IF(ISNUMBER(STDEV(AO8:AO30)),STDEV(AO8:AO30),"-")</f>
        <v>0</v>
      </c>
      <c r="AP33" s="1065">
        <f>IF(ISNUMBER(STDEV(AP8:AP30)),STDEV(AP8:AP30),"-")</f>
        <v>3.1405881453459279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9diOHSLGFWxdlU1mx+eivaH7pAmYtHMv4bKwS0EwwNsQI1RiN0/73EQLlS2AEFdRT59t6hxbpX1gxq7dD4ZUg==" saltValue="8T1SojsYQrE5C5NdNmpf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GANDIA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nX+6OP1GZXFo/Hbiag9TikIb0g+oAYAVMaTOGtSJ37NfFHplnTlFtGZ67ZJJCSN0gdobStZGZrwyW6C9zgSyQ==" saltValue="FoAft3ZBB4cAPELkbK9t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GANDIA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1547</v>
      </c>
      <c r="E9" s="452">
        <f t="shared" ref="E9:E14" si="0">IF(ISNUMBER(D9/B9),D9/B9," - ")</f>
        <v>257.83333333333331</v>
      </c>
      <c r="F9" s="451">
        <f>IF(ISNUMBER(Datos!N9),Datos!N9," - ")</f>
        <v>3291</v>
      </c>
      <c r="G9" s="452">
        <f t="shared" ref="G9:G14" si="1">IF(ISNUMBER(F9/B9),F9/B9," - ")</f>
        <v>548.5</v>
      </c>
      <c r="H9" s="451">
        <f>IF(ISNUMBER(Datos!O9),Datos!O9," - ")</f>
        <v>5194</v>
      </c>
      <c r="I9" s="452">
        <f>IF(ISNUMBER(H9/B9),H9/B9," - ")</f>
        <v>865.66666666666663</v>
      </c>
    </row>
    <row r="10" spans="1:9">
      <c r="A10" s="450" t="str">
        <f>Datos!A10</f>
        <v>Jdos. Violencia contra la mujer</v>
      </c>
      <c r="B10" s="480">
        <f>Datos!AO10</f>
        <v>1</v>
      </c>
      <c r="C10" s="458">
        <f>Datos!AQ10</f>
        <v>1</v>
      </c>
      <c r="D10" s="451">
        <f>IF(ISNUMBER(Datos!M10),Datos!M10," - ")</f>
        <v>25</v>
      </c>
      <c r="E10" s="452">
        <f>IF(ISNUMBER(D10/B10),D10/B10," - ")</f>
        <v>25</v>
      </c>
      <c r="F10" s="451">
        <f>IF(ISNUMBER(Datos!N10),Datos!N10," - ")</f>
        <v>36</v>
      </c>
      <c r="G10" s="452">
        <f>IF(ISNUMBER(F10/B10),F10/B10," - ")</f>
        <v>36</v>
      </c>
      <c r="H10" s="451">
        <f>IF(ISNUMBER(Datos!O10),Datos!O10," - ")</f>
        <v>23</v>
      </c>
      <c r="I10" s="452">
        <f t="shared" ref="I10:I13" si="2">IF(ISNUMBER(H10/B10),H10/B10," - ")</f>
        <v>23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1572</v>
      </c>
      <c r="E14" s="1147">
        <f t="shared" si="0"/>
        <v>224.57142857142858</v>
      </c>
      <c r="F14" s="1146">
        <f>SUBTOTAL(9,F9:F13)</f>
        <v>3327</v>
      </c>
      <c r="G14" s="1147">
        <f t="shared" si="1"/>
        <v>475.28571428571428</v>
      </c>
      <c r="H14" s="1146">
        <f>SUBTOTAL(9,H9:H13)</f>
        <v>5220</v>
      </c>
      <c r="I14" s="1147">
        <f>IF(ISNUMBER(H14/B14),H14/B14," - ")</f>
        <v>745.71428571428567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1537</v>
      </c>
      <c r="E16" s="452">
        <f t="shared" ref="E16:E23" si="3">IF(ISNUMBER(D16/B16),D16/B16," - ")</f>
        <v>512.33333333333337</v>
      </c>
      <c r="F16" s="451">
        <f>IF(ISNUMBER(Datos!N16),Datos!N16," - ")</f>
        <v>4617</v>
      </c>
      <c r="G16" s="452">
        <f t="shared" ref="G16:G23" si="4">IF(ISNUMBER(F16/B16),F16/B16," - ")</f>
        <v>1539</v>
      </c>
      <c r="H16" s="451">
        <f>IF(ISNUMBER(Datos!O16),Datos!O16," - ")</f>
        <v>319</v>
      </c>
      <c r="I16" s="452">
        <f t="shared" ref="I16:I22" si="5">IF(ISNUMBER(H16/B16),H16/B16," - ")</f>
        <v>106.33333333333333</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267</v>
      </c>
      <c r="E18" s="452">
        <f>IF(ISNUMBER(D18/B18),D18/B18," - ")</f>
        <v>267</v>
      </c>
      <c r="F18" s="451">
        <f>IF(ISNUMBER(Datos!N18),Datos!N18," - ")</f>
        <v>652</v>
      </c>
      <c r="G18" s="452">
        <f>IF(ISNUMBER(F18/B18),F18/B18," - ")</f>
        <v>652</v>
      </c>
      <c r="H18" s="451">
        <f>IF(ISNUMBER(Datos!O18),Datos!O18," - ")</f>
        <v>44</v>
      </c>
      <c r="I18" s="452">
        <f t="shared" si="5"/>
        <v>44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369</v>
      </c>
      <c r="E21" s="452">
        <f t="shared" si="3"/>
        <v>369</v>
      </c>
      <c r="F21" s="451">
        <f>IF(ISNUMBER(Datos!N21),Datos!N21," - ")</f>
        <v>27</v>
      </c>
      <c r="G21" s="452">
        <f t="shared" si="4"/>
        <v>27</v>
      </c>
      <c r="H21" s="451">
        <f>IF(ISNUMBER(Datos!O21),Datos!O21," - ")</f>
        <v>1039</v>
      </c>
      <c r="I21" s="452">
        <f t="shared" si="5"/>
        <v>1039</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2173</v>
      </c>
      <c r="E23" s="1147">
        <f t="shared" si="3"/>
        <v>434.6</v>
      </c>
      <c r="F23" s="1146">
        <f>SUBTOTAL(9,F16:F22)</f>
        <v>5296</v>
      </c>
      <c r="G23" s="1147">
        <f t="shared" si="4"/>
        <v>1059.2</v>
      </c>
      <c r="H23" s="1146">
        <f>SUBTOTAL(9,H16:H22)</f>
        <v>1402</v>
      </c>
      <c r="I23" s="1147">
        <f>IF(ISNUMBER(H23/B23),H23/B23," - ")</f>
        <v>280.39999999999998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3745</v>
      </c>
      <c r="E31" s="1085">
        <f>IF(ISNUMBER(D31/B31),D31/B31," - ")</f>
        <v>340.45454545454544</v>
      </c>
      <c r="F31" s="1084">
        <f>SUBTOTAL(9,F8:F30)</f>
        <v>8623</v>
      </c>
      <c r="G31" s="1085">
        <f>IF(ISNUMBER(F31/B31),F31/B31," - ")</f>
        <v>783.90909090909088</v>
      </c>
      <c r="H31" s="1084">
        <f>SUBTOTAL(9,H8:H30)</f>
        <v>6622</v>
      </c>
      <c r="I31" s="1085">
        <f>IF(ISNUMBER(H31/B31),H31/B31," - ")</f>
        <v>602</v>
      </c>
    </row>
    <row r="34" spans="1:1">
      <c r="A34" s="439" t="str">
        <f>Criterios!A4</f>
        <v>Fecha Informe: 14 abr. 2023</v>
      </c>
    </row>
    <row r="39" spans="1:1">
      <c r="A39" s="462"/>
    </row>
  </sheetData>
  <sheetProtection algorithmName="SHA-512" hashValue="FUu7XvGNXji3qeg6PBfrF3t87gdnS20L0zoyw4he8SN6z9M982Zeb7BQSvXAffycG5MkTMvwzrpAx4+ncMMuTw==" saltValue="XJb1ZTNHiKA4SlIFdxWJ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GANDIA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2005</v>
      </c>
      <c r="C9" s="489">
        <f>IF(ISNUMBER(Datos!Q9),Datos!Q9," - ")</f>
        <v>1846</v>
      </c>
      <c r="D9" s="456">
        <f>IF(ISNUMBER(Datos!R9),Datos!R9," - ")</f>
        <v>7393</v>
      </c>
    </row>
    <row r="10" spans="1:4">
      <c r="A10" s="450" t="str">
        <f>Datos!A10</f>
        <v>Jdos. Violencia contra la mujer</v>
      </c>
      <c r="B10" s="488">
        <f>IF(ISNUMBER(Datos!P10),Datos!P10," - ")</f>
        <v>26</v>
      </c>
      <c r="C10" s="489">
        <f>IF(ISNUMBER(Datos!Q10),Datos!Q10," - ")</f>
        <v>15</v>
      </c>
      <c r="D10" s="456">
        <f>IF(ISNUMBER(Datos!R10),Datos!R10," - ")</f>
        <v>61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186</v>
      </c>
      <c r="C12" s="489">
        <f>IF(ISNUMBER(Datos!Q12),Datos!Q12," - ")</f>
        <v>5</v>
      </c>
      <c r="D12" s="456">
        <f>IF(ISNUMBER(Datos!R12),Datos!R12," - ")</f>
        <v>281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2217</v>
      </c>
      <c r="C14" s="1150">
        <f>SUBTOTAL(9,C9:C13)</f>
        <v>1866</v>
      </c>
      <c r="D14" s="1148">
        <f>SUBTOTAL(9,D9:D13)</f>
        <v>7735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461</v>
      </c>
      <c r="C16" s="489">
        <f>IF(ISNUMBER(Datos!Q16),Datos!Q16," - ")</f>
        <v>389</v>
      </c>
      <c r="D16" s="456">
        <f>IF(ISNUMBER(Datos!R16),Datos!R16," - ")</f>
        <v>313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53</v>
      </c>
      <c r="C18" s="489">
        <f>IF(ISNUMBER(Datos!Q18),Datos!Q18," - ")</f>
        <v>40</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1179</v>
      </c>
      <c r="C21" s="489">
        <f>IF(ISNUMBER(Datos!Q21),Datos!Q21," - ")</f>
        <v>1511</v>
      </c>
      <c r="D21" s="456">
        <f>IF(ISNUMBER(Datos!R21),Datos!R21," - ")</f>
        <v>2091</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1693</v>
      </c>
      <c r="C23" s="1150">
        <f>SUBTOTAL(9,C16:C22)</f>
        <v>1940</v>
      </c>
      <c r="D23" s="1148">
        <f>SUBTOTAL(9,D16:D22)</f>
        <v>2424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3910</v>
      </c>
      <c r="C31" s="1089">
        <f>SUBTOTAL(9,C8:C30)</f>
        <v>3806</v>
      </c>
      <c r="D31" s="1090">
        <f>SUBTOTAL(9,D8:D30)</f>
        <v>10159</v>
      </c>
    </row>
    <row r="32" spans="1:4" ht="7.5" customHeight="1"/>
    <row r="33" spans="1:1" ht="6" customHeight="1"/>
    <row r="34" spans="1:1">
      <c r="A34" s="439" t="str">
        <f>Criterios!A4</f>
        <v>Fecha Informe: 14 abr. 2023</v>
      </c>
    </row>
    <row r="39" spans="1:1">
      <c r="A39" s="462"/>
    </row>
  </sheetData>
  <sheetProtection algorithmName="SHA-512" hashValue="sHrdz+2rE78RYf/byE6DgGspDbXxHU84utc26+Pjpi7s8mAgjK1sRk6gJbf5JHE2qtbGaYAiXDpNtBdmCIT6aA==" saltValue="KB0kZ2iM+K+BH1WhdFyN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GANDIA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-9.1789566365837558E-2</v>
      </c>
      <c r="C9" s="515">
        <f>IF(ISNUMBER(
   IF(J_V="SI",(Datos!J9-Datos!T9)/Datos!T9,(Datos!J9+Datos!Z9-(Datos!T9+Datos!AH9))/(Datos!T9+Datos!AH9))
     ),IF(J_V="SI",(Datos!J9-Datos!T9)/Datos!T9,(Datos!J9+Datos!Z9-(Datos!T9+Datos!AH9))/(Datos!T9+Datos!AH9))," - ")</f>
        <v>0.18068023770388164</v>
      </c>
      <c r="D9" s="515">
        <f>IF(ISNUMBER(
   IF(J_V="SI",(Datos!K9-Datos!U9)/Datos!U9,(Datos!K9+Datos!AA9-(Datos!U9+Datos!AI9))/(Datos!U9+Datos!AI9))
     ),IF(J_V="SI",(Datos!K9-Datos!U9)/Datos!U9,(Datos!K9+Datos!AA9-(Datos!U9+Datos!AI9))/(Datos!U9+Datos!AI9))," - ")</f>
        <v>5.5728667305848516E-2</v>
      </c>
      <c r="E9" s="515">
        <f>IF(ISNUMBER(
   IF(J_V="SI",(Datos!L9-Datos!V9)/Datos!V9,(Datos!L9+Datos!AB9-(Datos!V9+Datos!AJ9))/(Datos!V9+Datos!AJ9))
     ),IF(J_V="SI",(Datos!L9-Datos!V9)/Datos!V9,(Datos!L9+Datos!AB9-(Datos!V9+Datos!AJ9))/(Datos!V9+Datos!AJ9))," - ")</f>
        <v>0.11609306834706738</v>
      </c>
      <c r="F9" s="515">
        <f>IF(ISNUMBER((Datos!M9-Datos!W9)/Datos!W9),(Datos!M9-Datos!W9)/Datos!W9," - ")</f>
        <v>-9.7432905484247379E-2</v>
      </c>
      <c r="G9" s="516">
        <f>IF(ISNUMBER((Datos!N9-Datos!X9)/Datos!X9),(Datos!N9-Datos!X9)/Datos!X9," - ")</f>
        <v>2.3957685127566894E-2</v>
      </c>
      <c r="H9" s="514">
        <f>IF(ISNUMBER(((NºAsuntos!G9/NºAsuntos!E9)-Datos!BD9)/Datos!BD9),((NºAsuntos!G9/NºAsuntos!E9)-Datos!BD9)/Datos!BD9," - ")</f>
        <v>-0.10583015316749246</v>
      </c>
      <c r="I9" s="515">
        <f>IF(ISNUMBER(((NºAsuntos!I9/NºAsuntos!G9)-Datos!BE9)/Datos!BE9),((NºAsuntos!I9/NºAsuntos!G9)-Datos!BE9)/Datos!BE9," - ")</f>
        <v>5.7177950083770045E-2</v>
      </c>
      <c r="J9" s="521">
        <f>IF(ISNUMBER((('Resol  Asuntos'!D9/NºAsuntos!G9)-Datos!BF9)/Datos!BF9),(('Resol  Asuntos'!D9/NºAsuntos!G9)-Datos!BF9)/Datos!BF9," - ")</f>
        <v>-0.54407634382525705</v>
      </c>
      <c r="K9" s="522">
        <f>IF(ISNUMBER((((NºAsuntos!C9+NºAsuntos!E9)/NºAsuntos!G9)-Datos!BG9)/Datos!BG9),(((NºAsuntos!C9+NºAsuntos!E9)/NºAsuntos!G9)-Datos!BG9)/Datos!BG9," - ")</f>
        <v>2.4195059100734894E-2</v>
      </c>
    </row>
    <row r="10" spans="1:11">
      <c r="A10" s="450" t="str">
        <f>Datos!A10</f>
        <v>Jdos. Violencia contra la mujer</v>
      </c>
      <c r="B10" s="514">
        <f>IF(ISNUMBER((Datos!I10-Datos!S10)/Datos!S10),(Datos!I10-Datos!S10)/Datos!S10," - ")</f>
        <v>-0.14893617021276595</v>
      </c>
      <c r="C10" s="515">
        <f>IF(ISNUMBER((Datos!J10-Datos!T10)/Datos!T10),(Datos!J10-Datos!T10)/Datos!T10," - ")</f>
        <v>0.29487179487179488</v>
      </c>
      <c r="D10" s="515">
        <f>IF(ISNUMBER((Datos!K10-Datos!U10)/Datos!U10),(Datos!K10-Datos!U10)/Datos!U10," - ")</f>
        <v>-0.12941176470588237</v>
      </c>
      <c r="E10" s="515">
        <f>IF(ISNUMBER((Datos!L10-Datos!V10)/Datos!V10),(Datos!L10-Datos!V10)/Datos!V10," - ")</f>
        <v>0.67500000000000004</v>
      </c>
      <c r="F10" s="515">
        <f>IF(ISNUMBER((Datos!M10-Datos!W10)/Datos!W10),(Datos!M10-Datos!W10)/Datos!W10," - ")</f>
        <v>-0.47916666666666669</v>
      </c>
      <c r="G10" s="516">
        <f>IF(ISNUMBER((Datos!N10-Datos!X10)/Datos!X10),(Datos!N10-Datos!X10)/Datos!X10," - ")</f>
        <v>5.8823529411764705E-2</v>
      </c>
      <c r="H10" s="514">
        <f>IF(ISNUMBER(((NºAsuntos!G10/NºAsuntos!E10)-Datos!BD10)/Datos!BD10),((NºAsuntos!G10/NºAsuntos!E10)-Datos!BD10)/Datos!BD10," - ")</f>
        <v>-0.32766453115899818</v>
      </c>
      <c r="I10" s="515">
        <f>IF(ISNUMBER(((NºAsuntos!I10/NºAsuntos!G10)-Datos!BE10)/Datos!BE10),((NºAsuntos!I10/NºAsuntos!G10)-Datos!BE10)/Datos!BE10," - ")</f>
        <v>0.9239864864864864</v>
      </c>
      <c r="J10" s="521">
        <f>IF(ISNUMBER((('Resol  Asuntos'!D10/NºAsuntos!G10)-Datos!BF10)/Datos!BF10),(('Resol  Asuntos'!D10/NºAsuntos!G10)-Datos!BF10)/Datos!BF10," - ")</f>
        <v>-0.40174549549549549</v>
      </c>
      <c r="K10" s="522">
        <f>IF(ISNUMBER((((NºAsuntos!C10+NºAsuntos!E10)/NºAsuntos!G10)-Datos!BG10)/Datos!BG10),(((NºAsuntos!C10+NºAsuntos!E10)/NºAsuntos!G10)-Datos!BG10)/Datos!BG10," - ")</f>
        <v>0.29567567567567565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f>IF(ISNUMBER(((NºAsuntos!G12/NºAsuntos!E12)-Datos!BD12)/Datos!BD12),((NºAsuntos!G12/NºAsuntos!E12)-Datos!BD12)/Datos!BD12," - ")</f>
        <v>0</v>
      </c>
      <c r="I12" s="515">
        <f>IF(ISNUMBER(((NºAsuntos!I12/NºAsuntos!G12)-Datos!BE12)/Datos!BE12),((NºAsuntos!I12/NºAsuntos!G12)-Datos!BE12)/Datos!BE12," - ")</f>
        <v>-0.5</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-9.2354606839468528E-2</v>
      </c>
      <c r="C14" s="1152">
        <f>IF(ISNUMBER(
   IF(J_V="SI",(Datos!J14-Datos!T14)/Datos!T14,(Datos!J14+Datos!Z14-(Datos!T14+Datos!AH14))/(Datos!T14+Datos!AH14))
     ),IF(J_V="SI",(Datos!J14-Datos!T14)/Datos!T14,(Datos!J14+Datos!Z14-(Datos!T14+Datos!AH14))/(Datos!T14+Datos!AH14))," - ")</f>
        <v>0.18189784677015522</v>
      </c>
      <c r="D14" s="1152">
        <f>IF(ISNUMBER(
   IF(J_V="SI",(Datos!K14-Datos!U14)/Datos!U14,(Datos!K14+Datos!AA14-(Datos!U14+Datos!AI14))/(Datos!U14+Datos!AI14))
     ),IF(J_V="SI",(Datos!K14-Datos!U14)/Datos!U14,(Datos!K14+Datos!AA14-(Datos!U14+Datos!AI14))/(Datos!U14+Datos!AI14))," - ")</f>
        <v>5.3973902728351127E-2</v>
      </c>
      <c r="E14" s="1152">
        <f>IF(ISNUMBER(
   IF(J_V="SI",(Datos!L14-Datos!V14)/Datos!V14,(Datos!L14+Datos!AB14-(Datos!V14+Datos!AJ14))/(Datos!V14+Datos!AJ14))
     ),IF(J_V="SI",(Datos!L14-Datos!V14)/Datos!V14,(Datos!L14+Datos!AB14-(Datos!V14+Datos!AJ14))/(Datos!V14+Datos!AJ14))," - ")</f>
        <v>0.12143028557715382</v>
      </c>
      <c r="F14" s="1153">
        <f>IF(ISNUMBER((Datos!M14-Datos!W14)/Datos!W14),(Datos!M14-Datos!W14)/Datos!W14," - ")</f>
        <v>-0.10783200908059024</v>
      </c>
      <c r="G14" s="1154">
        <f>IF(ISNUMBER((Datos!N14-Datos!X14)/Datos!X14),(Datos!N14-Datos!X14)/Datos!X14," - ")</f>
        <v>2.4322660098522169E-2</v>
      </c>
      <c r="H14" s="1154">
        <f>IF(ISNUMBER(((NºAsuntos!G14/NºAsuntos!E14)-Datos!BD14)/Datos!BD14),((NºAsuntos!G14/NºAsuntos!E14)-Datos!BD14)/Datos!BD14," - ")</f>
        <v>-0.1082360412038906</v>
      </c>
      <c r="I14" s="1154">
        <f>IF(ISNUMBER(((NºAsuntos!I14/NºAsuntos!G14)-Datos!BE14)/Datos!BE14),((NºAsuntos!I14/NºAsuntos!G14)-Datos!BE14)/Datos!BE14," - ")</f>
        <v>6.4001947936455417E-2</v>
      </c>
      <c r="J14" s="1154">
        <f>IF(ISNUMBER((('Resol  Asuntos'!D14/NºAsuntos!G14)-Datos!BF14)/Datos!BF14),(('Resol  Asuntos'!D14/NºAsuntos!G14)-Datos!BF14)/Datos!BF14," - ")</f>
        <v>-0.54276577854436081</v>
      </c>
      <c r="K14" s="1154">
        <f>IF(ISNUMBER((((NºAsuntos!C14+NºAsuntos!E14)/NºAsuntos!G14)-Datos!BG14)/Datos!BG14),(((NºAsuntos!C14+NºAsuntos!E14)/NºAsuntos!G14)-Datos!BG14)/Datos!BG14," - ")</f>
        <v>2.6403976614560169E-2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-0.10935524652338811</v>
      </c>
      <c r="C16" s="515">
        <f>IF(ISNUMBER(
   IF(D_I="SI",(Datos!J16-Datos!T16)/Datos!T16,(Datos!J16+Datos!AD16-(Datos!T16+Datos!AL16))/(Datos!T16+Datos!AL16))
     ),IF(D_I="SI",(Datos!J16-Datos!T16)/Datos!T16,(Datos!J16+Datos!AD16-(Datos!T16+Datos!AL16))/(Datos!T16+Datos!AL16))," - ")</f>
        <v>6.5592489215935038E-2</v>
      </c>
      <c r="D16" s="515">
        <f>IF(ISNUMBER(
   IF(D_I="SI",(Datos!K16-Datos!U16)/Datos!U16,(Datos!K16+Datos!AE16-(Datos!U16+Datos!AM16))/(Datos!U16+Datos!AM16))
     ),IF(D_I="SI",(Datos!K16-Datos!U16)/Datos!U16,(Datos!K16+Datos!AE16-(Datos!U16+Datos!AM16))/(Datos!U16+Datos!AM16))," - ")</f>
        <v>9.3734209196563917E-2</v>
      </c>
      <c r="E16" s="515">
        <f>IF(ISNUMBER(
   IF(D_I="SI",(Datos!L16-Datos!V16)/Datos!V16,(Datos!L16+Datos!AF16-(Datos!V16+Datos!AN16))/(Datos!V16+Datos!AN16))
     ),IF(D_I="SI",(Datos!L16-Datos!V16)/Datos!V16,(Datos!L16+Datos!AF16-(Datos!V16+Datos!AN16))/(Datos!V16+Datos!AN16))," - ")</f>
        <v>-1.6323633782824698E-2</v>
      </c>
      <c r="F16" s="515">
        <f>IF(ISNUMBER((Datos!M16-Datos!W16)/Datos!W16),(Datos!M16-Datos!W16)/Datos!W16," - ")</f>
        <v>5.4183813443072701E-2</v>
      </c>
      <c r="G16" s="516">
        <f>IF(ISNUMBER((Datos!N16-Datos!X16)/Datos!X16),(Datos!N16-Datos!X16)/Datos!X16," - ")</f>
        <v>0.13635244892936255</v>
      </c>
      <c r="H16" s="514">
        <f>IF(ISNUMBER(((NºAsuntos!G16/NºAsuntos!E16)-Datos!BD16)/Datos!BD16),((NºAsuntos!G16/NºAsuntos!E16)-Datos!BD16)/Datos!BD16," - ")</f>
        <v>2.6409457898239865E-2</v>
      </c>
      <c r="I16" s="515">
        <f>IF(ISNUMBER(((NºAsuntos!I16/NºAsuntos!G16)-Datos!BE16)/Datos!BE16),((NºAsuntos!I16/NºAsuntos!G16)-Datos!BE16)/Datos!BE16," - ")</f>
        <v>-0.1006257663461354</v>
      </c>
      <c r="J16" s="521">
        <f>IF(ISNUMBER((('Resol  Asuntos'!D16/NºAsuntos!G16)-Datos!BF16)/Datos!BF16),(('Resol  Asuntos'!D16/NºAsuntos!G16)-Datos!BF16)/Datos!BF16," - ")</f>
        <v>-3.6160883897509342E-2</v>
      </c>
      <c r="K16" s="522">
        <f>IF(ISNUMBER((((NºAsuntos!C16+NºAsuntos!E16)/NºAsuntos!G16)-Datos!BG16)/Datos!BG16),(((NºAsuntos!C16+NºAsuntos!E16)/NºAsuntos!G16)-Datos!BG16)/Datos!BG16," - ")</f>
        <v>-5.2467904538910475E-2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f>IF(ISNUMBER((Datos!N17-Datos!X17)/Datos!X17),(Datos!N17-Datos!X17)/Datos!X17," - ")</f>
        <v>-1</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0.47142857142857142</v>
      </c>
      <c r="C18" s="515">
        <f>IF(ISNUMBER(
   IF(D_I="SI",(Datos!J18-Datos!T18)/Datos!T18,(Datos!J18+Datos!AD18-(Datos!T18+Datos!AL18))/(Datos!T18+Datos!AL18))
     ),IF(D_I="SI",(Datos!J18-Datos!T18)/Datos!T18,(Datos!J18+Datos!AD18-(Datos!T18+Datos!AL18))/(Datos!T18+Datos!AL18))," - ")</f>
        <v>5.9649122807017542E-2</v>
      </c>
      <c r="D18" s="515">
        <f>IF(ISNUMBER(
   IF(D_I="SI",(Datos!K18-Datos!U18)/Datos!U18,(Datos!K18+Datos!AE18-(Datos!U18+Datos!AM18))/(Datos!U18+Datos!AM18))
     ),IF(D_I="SI",(Datos!K18-Datos!U18)/Datos!U18,(Datos!K18+Datos!AE18-(Datos!U18+Datos!AM18))/(Datos!U18+Datos!AM18))," - ")</f>
        <v>0.11557177615571776</v>
      </c>
      <c r="E18" s="515">
        <f>IF(ISNUMBER(
   IF(D_I="SI",(Datos!L18-Datos!V18)/Datos!V18,(Datos!L18+Datos!AF18-(Datos!V18+Datos!AN18))/(Datos!V18+Datos!AN18))
     ),IF(D_I="SI",(Datos!L18-Datos!V18)/Datos!V18,(Datos!L18+Datos!AF18-(Datos!V18+Datos!AN18))/(Datos!V18+Datos!AN18))," - ")</f>
        <v>-0.10679611650485436</v>
      </c>
      <c r="F18" s="515">
        <f>IF(ISNUMBER((Datos!M18-Datos!W18)/Datos!W18),(Datos!M18-Datos!W18)/Datos!W18," - ")</f>
        <v>4.7058823529411764E-2</v>
      </c>
      <c r="G18" s="516">
        <f>IF(ISNUMBER((Datos!N18-Datos!X18)/Datos!X18),(Datos!N18-Datos!X18)/Datos!X18," - ")</f>
        <v>0.15602836879432624</v>
      </c>
      <c r="H18" s="514">
        <f>IF(ISNUMBER(((NºAsuntos!G18/NºAsuntos!E18)-Datos!BD18)/Datos!BD18),((NºAsuntos!G18/NºAsuntos!E18)-Datos!BD18)/Datos!BD18," - ")</f>
        <v>5.277468941847533E-2</v>
      </c>
      <c r="I18" s="515">
        <f>IF(ISNUMBER(((NºAsuntos!I18/NºAsuntos!G18)-Datos!BE18)/Datos!BE18),((NºAsuntos!I18/NºAsuntos!G18)-Datos!BE18)/Datos!BE18," - ")</f>
        <v>-0.19933086997490773</v>
      </c>
      <c r="J18" s="521">
        <f>IF(ISNUMBER((('Resol  Asuntos'!D18/NºAsuntos!G18)-Datos!BF18)/Datos!BF18),(('Resol  Asuntos'!D18/NºAsuntos!G18)-Datos!BF18)/Datos!BF18," - ")</f>
        <v>-6.1415100391301505E-2</v>
      </c>
      <c r="K18" s="522">
        <f>IF(ISNUMBER((((NºAsuntos!C18+NºAsuntos!E18)/NºAsuntos!G18)-Datos!BG18)/Datos!BG18),(((NºAsuntos!C18+NºAsuntos!E18)/NºAsuntos!G18)-Datos!BG18)/Datos!BG18," - ")</f>
        <v>-2.2195761737746445E-2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0.23433874709976799</v>
      </c>
      <c r="C21" s="515">
        <f>IF(ISNUMBER((Datos!J21-Datos!T21)/Datos!T21),(Datos!J21-Datos!T21)/Datos!T21," - ")</f>
        <v>4.4444444444444444E-3</v>
      </c>
      <c r="D21" s="515">
        <f>IF(ISNUMBER((Datos!K21-Datos!U21)/Datos!U21),(Datos!K21-Datos!U21)/Datos!U21," - ")</f>
        <v>7.5471698113207544E-2</v>
      </c>
      <c r="E21" s="515">
        <f>IF(ISNUMBER((Datos!L21-Datos!V21)/Datos!V21),(Datos!L21-Datos!V21)/Datos!V21," - ")</f>
        <v>0.15037593984962405</v>
      </c>
      <c r="F21" s="515">
        <f>IF(ISNUMBER((Datos!M21-Datos!W21)/Datos!W21),(Datos!M21-Datos!W21)/Datos!W21," - ")</f>
        <v>2.5000000000000001E-2</v>
      </c>
      <c r="G21" s="516">
        <f>IF(ISNUMBER((Datos!N21-Datos!X21)/Datos!X21),(Datos!N21-Datos!X21)/Datos!X21," - ")</f>
        <v>1.4545454545454546</v>
      </c>
      <c r="H21" s="514">
        <f>IF(ISNUMBER(((NºAsuntos!G21/NºAsuntos!E21)-Datos!BD21)/Datos!BD21),((NºAsuntos!G21/NºAsuntos!E21)-Datos!BD21)/Datos!BD21," - ")</f>
        <v>7.0712973785273012E-2</v>
      </c>
      <c r="I21" s="515">
        <f>IF(ISNUMBER(((NºAsuntos!I21/NºAsuntos!G21)-Datos!BE21)/Datos!BE21),((NºAsuntos!I21/NºAsuntos!G21)-Datos!BE21)/Datos!BE21," - ")</f>
        <v>6.9647803719825888E-2</v>
      </c>
      <c r="J21" s="521">
        <f>IF(ISNUMBER((('Resol  Asuntos'!D21/NºAsuntos!G21)-Datos!BF21)/Datos!BF21),(('Resol  Asuntos'!D21/NºAsuntos!G21)-Datos!BF21)/Datos!BF21," - ")</f>
        <v>-4.6929824561403544E-2</v>
      </c>
      <c r="K21" s="522">
        <f>IF(ISNUMBER((((NºAsuntos!C21+NºAsuntos!E21)/NºAsuntos!G21)-Datos!BG21)/Datos!BG21),(((NºAsuntos!C21+NºAsuntos!E21)/NºAsuntos!G21)-Datos!BG21)/Datos!BG21," - ")</f>
        <v>3.8532767787800799E-2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-1.9664268585131893E-2</v>
      </c>
      <c r="C23" s="1152">
        <f>IF(ISNUMBER(
   IF(Criterios!B14="SI",(Datos!J23-Datos!T23)/Datos!T23,(Datos!J23+Datos!AD23-(Datos!T23+Datos!AL23))/(Datos!T23+Datos!AL23))
     ),IF(Criterios!B14="SI",(Datos!J23-Datos!T23)/Datos!T23,(Datos!J23+Datos!AD23-(Datos!T23+Datos!AL23))/(Datos!T23+Datos!AL23))," - ")</f>
        <v>6.2044192881245235E-2</v>
      </c>
      <c r="D23" s="1152">
        <f>IF(ISNUMBER(
   IF(Criterios!B14="SI",(Datos!K23-Datos!U23)/Datos!U23,(Datos!K23+Datos!AE23-(Datos!U23+Datos!AM23))/(Datos!U23+Datos!AM23))
     ),IF(Criterios!B14="SI",(Datos!K23-Datos!U23)/Datos!U23,(Datos!K23+Datos!AE23-(Datos!U23+Datos!AM23))/(Datos!U23+Datos!AM23))," - ")</f>
        <v>9.4720667325211283E-2</v>
      </c>
      <c r="E23" s="1152">
        <f>IF(ISNUMBER(
   IF(Criterios!B14="SI",(Datos!L23-Datos!V23)/Datos!V23,(Datos!L23+Datos!AF23-(Datos!V23+Datos!AN23))/(Datos!V23+Datos!AN23))
     ),IF(Criterios!B14="SI",(Datos!L23-Datos!V23)/Datos!V23,(Datos!L23+Datos!AF23-(Datos!V23+Datos!AN23))/(Datos!V23+Datos!AN23))," - ")</f>
        <v>2.2504892367906065E-2</v>
      </c>
      <c r="F23" s="1153">
        <f>IF(ISNUMBER((Datos!M23-Datos!W23)/Datos!W23),(Datos!M23-Datos!W23)/Datos!W23," - ")</f>
        <v>4.8239266763145203E-2</v>
      </c>
      <c r="G23" s="1154">
        <f>IF(ISNUMBER((Datos!N23-Datos!X23)/Datos!X23),(Datos!N23-Datos!X23)/Datos!X23," - ")</f>
        <v>0.141625350291011</v>
      </c>
      <c r="H23" s="1154">
        <f>IF(ISNUMBER(((NºAsuntos!G23/NºAsuntos!E23)-Datos!BD23)/Datos!BD23),((NºAsuntos!G23/NºAsuntos!E23)-Datos!BD23)/Datos!BD23," - ")</f>
        <v>3.0767528002123196E-2</v>
      </c>
      <c r="I23" s="1154">
        <f>IF(ISNUMBER(((NºAsuntos!I23/NºAsuntos!G23)-Datos!BE23)/Datos!BE23),((NºAsuntos!I23/NºAsuntos!G23)-Datos!BE23)/Datos!BE23," - ")</f>
        <v>-6.5967307563265229E-2</v>
      </c>
      <c r="J23" s="1154">
        <f>IF(ISNUMBER((('Resol  Asuntos'!D23/NºAsuntos!G23)-Datos!BF23)/Datos!BF23),(('Resol  Asuntos'!D23/NºAsuntos!G23)-Datos!BF23)/Datos!BF23," - ")</f>
        <v>-4.2459599009523168E-2</v>
      </c>
      <c r="K23" s="1154">
        <f>IF(ISNUMBER((((NºAsuntos!C23+NºAsuntos!E23)/NºAsuntos!G23)-Datos!BG23)/Datos!BG23),(((NºAsuntos!C23+NºAsuntos!E23)/NºAsuntos!G23)-Datos!BG23)/Datos!BG23," - ")</f>
        <v>-4.3655173073838607E-2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-6.9652486518873583E-2</v>
      </c>
      <c r="C31" s="1092">
        <f>IF(ISNUMBER(
   IF(J_V="SI",(Datos!J31-Datos!T31)/Datos!T31,(Datos!J31+Datos!Z31-(Datos!T31+Datos!AH31))/(Datos!T31+Datos!AH31))
     ),IF(J_V="SI",(Datos!J31-Datos!T31)/Datos!T31,(Datos!J31+Datos!Z31-(Datos!T31+Datos!AH31))/(Datos!T31+Datos!AH31))," - ")</f>
        <v>0.11778748180494905</v>
      </c>
      <c r="D31" s="1092">
        <f>IF(ISNUMBER(
   IF(J_V="SI",(Datos!K31-Datos!U31)/Datos!U31,(Datos!K31+Datos!AA31-(Datos!U31+Datos!AI31))/(Datos!U31+Datos!AI31))
     ),IF(J_V="SI",(Datos!K31-Datos!U31)/Datos!U31,(Datos!K31+Datos!AA31-(Datos!U31+Datos!AI31))/(Datos!U31+Datos!AI31))," - ")</f>
        <v>7.5138247534348099E-2</v>
      </c>
      <c r="E31" s="1092">
        <f>IF(ISNUMBER(
   IF(J_V="SI",(Datos!L31-Datos!V31)/Datos!V31,(Datos!L31+Datos!AB31-(Datos!V31+Datos!AJ31))/(Datos!V31+Datos!AJ31))
     ),IF(J_V="SI",(Datos!L31-Datos!V31)/Datos!V31,(Datos!L31+Datos!AB31-(Datos!V31+Datos!AJ31))/(Datos!V31+Datos!AJ31))," - ")</f>
        <v>8.8874577362743526E-2</v>
      </c>
      <c r="F31" s="1093">
        <f>IF(ISNUMBER((Datos!M31-Datos!W31)/Datos!W31),(Datos!M31-Datos!W31)/Datos!W31," - ")</f>
        <v>-2.3468057366362451E-2</v>
      </c>
      <c r="G31" s="1094">
        <f>IF(ISNUMBER((Datos!N31-Datos!X31)/Datos!X31),(Datos!N31-Datos!X31)/Datos!X31," - ")</f>
        <v>9.3318118422720933E-2</v>
      </c>
      <c r="H31" s="1095">
        <f>IF(ISNUMBER((Tasas!B31-Datos!BD31)/Datos!BD31),(Tasas!B31-Datos!BD31)/Datos!BD31," - ")</f>
        <v>-3.8155047327720092E-2</v>
      </c>
      <c r="I31" s="1096">
        <f>IF(ISNUMBER((Tasas!C31-Datos!BE31)/Datos!BE31),(Tasas!C31-Datos!BE31)/Datos!BE31," - ")</f>
        <v>1.2776338168507435E-2</v>
      </c>
      <c r="J31" s="1097">
        <f>IF(ISNUMBER((Tasas!D31-Datos!BF31)/Datos!BF31),(Tasas!D31-Datos!BF31)/Datos!BF31," - ")</f>
        <v>-0.34709035180575754</v>
      </c>
      <c r="K31" s="1097">
        <f>IF(ISNUMBER((Tasas!E31-Datos!BG31)/Datos!BG31),(Tasas!E31-Datos!BG31)/Datos!BG31," - ")</f>
        <v>-9.1300247614077325E-3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rgFba936uMO+onPtSxs/ilQu4ps2bKEpCVZ3UIurf+ni+Pa3uxt887whfwCVsNHs4Rs3oxzMCwtJP82kjgwMA==" saltValue="PeURvOWHtrDcMWagqOYO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GANDIA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0.94334975369458129</v>
      </c>
      <c r="C9" s="498">
        <f>IF(ISNUMBER(NºAsuntos!I9/NºAsuntos!G9),NºAsuntos!I9/NºAsuntos!G9," - ")</f>
        <v>0.52276081280508568</v>
      </c>
      <c r="D9" s="499">
        <f>IF(ISNUMBER('Resol  Asuntos'!D9/NºAsuntos!G9),'Resol  Asuntos'!D9/NºAsuntos!G9," - ")</f>
        <v>0.17561584742876604</v>
      </c>
      <c r="E9" s="500">
        <f>IF(ISNUMBER((NºAsuntos!C9+NºAsuntos!E9)/NºAsuntos!G9),(NºAsuntos!C9+NºAsuntos!E9)/NºAsuntos!G9," - ")</f>
        <v>1.5284368259734362</v>
      </c>
      <c r="G9" s="523"/>
    </row>
    <row r="10" spans="1:7">
      <c r="A10" s="450" t="str">
        <f>Datos!A10</f>
        <v>Jdos. Violencia contra la mujer</v>
      </c>
      <c r="B10" s="497">
        <f>IF(ISNUMBER(NºAsuntos!G10/NºAsuntos!E10),NºAsuntos!G10/NºAsuntos!E10," - ")</f>
        <v>0.73267326732673266</v>
      </c>
      <c r="C10" s="498">
        <f>IF(ISNUMBER(NºAsuntos!I10/NºAsuntos!G10),NºAsuntos!I10/NºAsuntos!G10," - ")</f>
        <v>0.90540540540540537</v>
      </c>
      <c r="D10" s="499">
        <f>IF(ISNUMBER('Resol  Asuntos'!D10/NºAsuntos!G10),'Resol  Asuntos'!D10/NºAsuntos!G10," - ")</f>
        <v>0.33783783783783783</v>
      </c>
      <c r="E10" s="500">
        <f>IF(ISNUMBER((NºAsuntos!C10+NºAsuntos!E10)/NºAsuntos!G10),(NºAsuntos!C10+NºAsuntos!E10)/NºAsuntos!G10," - ")</f>
        <v>1.9054054054054055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0.5</v>
      </c>
      <c r="D12" s="499">
        <f>IF(ISNUMBER('Resol  Asuntos'!D12/NºAsuntos!G12),'Resol  Asuntos'!D12/NºAsuntos!G12," - ")</f>
        <v>0</v>
      </c>
      <c r="E12" s="500">
        <f>IF(ISNUMBER((NºAsuntos!C12+NºAsuntos!E12)/NºAsuntos!G12),(NºAsuntos!C12+NºAsuntos!E12)/NºAsuntos!G12," - ")</f>
        <v>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0.94110793348162269</v>
      </c>
      <c r="C14" s="1156">
        <f>IF(ISNUMBER(NºAsuntos!I14/NºAsuntos!G14),NºAsuntos!I14/NºAsuntos!G14," - ")</f>
        <v>0.52594259988745073</v>
      </c>
      <c r="D14" s="1157">
        <f>IF(ISNUMBER('Resol  Asuntos'!D14/NºAsuntos!G14),'Resol  Asuntos'!D14/NºAsuntos!G14," - ")</f>
        <v>0.17692740574001126</v>
      </c>
      <c r="E14" s="1158">
        <f>IF(ISNUMBER((NºAsuntos!C14+NºAsuntos!E14)/NºAsuntos!G14),(NºAsuntos!C14+NºAsuntos!E14)/NºAsuntos!G14," - ")</f>
        <v>1.5315700619020822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1.0308370044052864</v>
      </c>
      <c r="C16" s="498">
        <f>IF(ISNUMBER(NºAsuntos!I16/NºAsuntos!G16),NºAsuntos!I16/NºAsuntos!G16," - ")</f>
        <v>0.16008316008316009</v>
      </c>
      <c r="D16" s="499">
        <f>IF(ISNUMBER('Resol  Asuntos'!D16/NºAsuntos!G16),'Resol  Asuntos'!D16/NºAsuntos!G16," - ")</f>
        <v>0.17752367752367754</v>
      </c>
      <c r="E16" s="500">
        <f>IF(ISNUMBER((NºAsuntos!C16+NºAsuntos!E16)/NºAsuntos!G16),(NºAsuntos!C16+NºAsuntos!E16)/NºAsuntos!G16," - ")</f>
        <v>1.1328251328251329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1.0121412803532008</v>
      </c>
      <c r="C18" s="498">
        <f>IF(ISNUMBER(NºAsuntos!I18/NºAsuntos!G18),NºAsuntos!I18/NºAsuntos!G18," - ")</f>
        <v>0.10032715376226826</v>
      </c>
      <c r="D18" s="499">
        <f>IF(ISNUMBER('Resol  Asuntos'!D18/NºAsuntos!G18),'Resol  Asuntos'!D18/NºAsuntos!G18," - ")</f>
        <v>0.29116684841875684</v>
      </c>
      <c r="E18" s="500">
        <f>IF(ISNUMBER((NºAsuntos!C18+NºAsuntos!E18)/NºAsuntos!G18),(NºAsuntos!C18+NºAsuntos!E18)/NºAsuntos!G18," - ")</f>
        <v>1.1003271537622683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0.88274336283185839</v>
      </c>
      <c r="C21" s="498">
        <f>IF(ISNUMBER(NºAsuntos!I21/NºAsuntos!G21),NºAsuntos!I21/NºAsuntos!G21," - ")</f>
        <v>1.5338345864661653</v>
      </c>
      <c r="D21" s="499">
        <f>IF(ISNUMBER('Resol  Asuntos'!D21/NºAsuntos!G21),'Resol  Asuntos'!D21/NºAsuntos!G21," - ")</f>
        <v>0.92481203007518797</v>
      </c>
      <c r="E21" s="500">
        <f>IF(ISNUMBER((NºAsuntos!C21+NºAsuntos!E21)/NºAsuntos!G21),(NºAsuntos!C21+NºAsuntos!E21)/NºAsuntos!G21," - ")</f>
        <v>2.4661654135338344</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1.0222404427590448</v>
      </c>
      <c r="C23" s="1156">
        <f>IF(ISNUMBER(NºAsuntos!I23/NºAsuntos!G23),NºAsuntos!I23/NºAsuntos!G23," - ")</f>
        <v>0.2095448165229597</v>
      </c>
      <c r="D23" s="1159">
        <f>IF(ISNUMBER('Resol  Asuntos'!D23/NºAsuntos!G23),'Resol  Asuntos'!D23/NºAsuntos!G23," - ")</f>
        <v>0.21786645277722078</v>
      </c>
      <c r="E23" s="1158">
        <f>IF(ISNUMBER((NºAsuntos!C23+NºAsuntos!E23)/NºAsuntos!G23),(NºAsuntos!C23+NºAsuntos!E23)/NºAsuntos!G23," - ")</f>
        <v>1.183176258271506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0.9823419106156891</v>
      </c>
      <c r="C31" s="1099">
        <f>IF(ISNUMBER(NºAsuntos!I31/NºAsuntos!G31),NºAsuntos!I31/NºAsuntos!G31," - ")</f>
        <v>0.35860862187814835</v>
      </c>
      <c r="D31" s="1100">
        <f>IF(ISNUMBER('Resol  Asuntos'!D31/NºAsuntos!G31),'Resol  Asuntos'!D31/NºAsuntos!G31," - ")</f>
        <v>0.19857892783286493</v>
      </c>
      <c r="E31" s="1101">
        <f>IF(ISNUMBER((NºAsuntos!C31+NºAsuntos!E31)/NºAsuntos!G31),(NºAsuntos!C31+NºAsuntos!E31)/NºAsuntos!G31," - ")</f>
        <v>1.3473142796542765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2SEGZ7cGHnFyprhR0ZyIF50LYkSE8k/lTf+AlkvGezKC6ZgQaJdy+PYQXC2jEcNGaYYIIMaBdC/00tacez8pw==" saltValue="5iYMuUC4NQtKvvMV22zp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GANDIA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768</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1111</v>
      </c>
      <c r="AX5" s="1641" t="s">
        <v>418</v>
      </c>
      <c r="AY5" s="1641" t="s">
        <v>991</v>
      </c>
      <c r="AZ5" s="1641" t="s">
        <v>992</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320</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2005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1846</v>
      </c>
      <c r="Y9" s="374">
        <f>SUM(W9:X9)</f>
        <v>1846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7393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1547</v>
      </c>
      <c r="AJ9" s="243" t="str">
        <f>IF(ISNUMBER(Datos!BW9),Datos!BW9," - ")</f>
        <v xml:space="preserve"> - </v>
      </c>
      <c r="AK9" s="242" t="str">
        <f>IF(ISNUMBER(Datos!BX9),Datos!BX9," - ")</f>
        <v xml:space="preserve"> - </v>
      </c>
      <c r="AL9" s="266">
        <f>IF(ISNUMBER(NºAsuntos!G9/NºAsuntos!E9),NºAsuntos!G9/NºAsuntos!E9," - ")</f>
        <v>0.94334975369458129</v>
      </c>
      <c r="AM9" s="284">
        <f>IF(ISNUMBER(((NºAsuntos!I9/NºAsuntos!G9)*11)/factor_trimestre),((NºAsuntos!I9/NºAsuntos!G9)*11)/factor_trimestre," - ")</f>
        <v>5.7503689408559424</v>
      </c>
      <c r="AN9" s="267">
        <f>IF(ISNUMBER('Resol  Asuntos'!D9/NºAsuntos!G9),'Resol  Asuntos'!D9/NºAsuntos!G9," - ")</f>
        <v>0.17561584742876604</v>
      </c>
      <c r="AO9" s="268">
        <f>IF(ISNUMBER((NºAsuntos!C9+NºAsuntos!E9)/NºAsuntos!G9),(NºAsuntos!C9+NºAsuntos!E9)/NºAsuntos!G9," - ")</f>
        <v>1.5284368259734362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1</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74</v>
      </c>
      <c r="X10" s="240">
        <f>IF(ISNUMBER(Datos!Q10),Datos!Q10," - ")</f>
        <v>15</v>
      </c>
      <c r="Y10" s="374">
        <f t="shared" ref="Y10:Y13" si="0">SUM(W10:X10)</f>
        <v>89</v>
      </c>
      <c r="Z10" s="375" t="str">
        <f>IF(ISNUMBER(Datos!CC10),Datos!CC10," - ")</f>
        <v xml:space="preserve"> - </v>
      </c>
      <c r="AA10" s="372">
        <f>IF(ISNUMBER(Datos!L10),Datos!L10,"-")</f>
        <v>67</v>
      </c>
      <c r="AB10" s="374">
        <f>IF(ISNUMBER(Datos!R10),Datos!R10," - ")</f>
        <v>61</v>
      </c>
      <c r="AC10" s="374">
        <f t="shared" ref="AC10:AC13" si="1">IF(ISNUMBER(AA10+AB10),AA10+AB10," - ")</f>
        <v>128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25</v>
      </c>
      <c r="AJ10" s="245" t="str">
        <f>IF(ISNUMBER(Datos!BW10),Datos!BW10," - ")</f>
        <v xml:space="preserve"> - </v>
      </c>
      <c r="AK10" s="246" t="str">
        <f>IF(ISNUMBER(Datos!BX10),Datos!BX10," - ")</f>
        <v xml:space="preserve"> - </v>
      </c>
      <c r="AL10" s="266">
        <f>IF(ISNUMBER(NºAsuntos!G10/NºAsuntos!E10),NºAsuntos!G10/NºAsuntos!E10," - ")</f>
        <v>0.73267326732673266</v>
      </c>
      <c r="AM10" s="284">
        <f>IF(ISNUMBER(((NºAsuntos!I10/NºAsuntos!G10)*11)/factor_trimestre),((NºAsuntos!I10/NºAsuntos!G10)*11)/factor_trimestre," - ")</f>
        <v>9.9594594594594597</v>
      </c>
      <c r="AN10" s="267">
        <f>IF(ISNUMBER('Resol  Asuntos'!D10/NºAsuntos!G10),'Resol  Asuntos'!D10/NºAsuntos!G10," - ")</f>
        <v>0.33783783783783783</v>
      </c>
      <c r="AO10" s="268">
        <f>IF(ISNUMBER((NºAsuntos!C10+NºAsuntos!E10)/NºAsuntos!G10),(NºAsuntos!C10+NºAsuntos!E10)/NºAsuntos!G10," - ")</f>
        <v>1.9054054054054055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5.5</v>
      </c>
      <c r="AN12" s="267">
        <f>IF(ISNUMBER('Resol  Asuntos'!D12/NºAsuntos!G12),'Resol  Asuntos'!D12/NºAsuntos!G12," - ")</f>
        <v>0</v>
      </c>
      <c r="AO12" s="268">
        <f>IF(ISNUMBER((NºAsuntos!C12+NºAsuntos!E12)/NºAsuntos!G12),(NºAsuntos!C12+NºAsuntos!E12)/NºAsuntos!G12," - ")</f>
        <v>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40</v>
      </c>
      <c r="G14" s="1163">
        <f t="shared" si="5"/>
        <v>40</v>
      </c>
      <c r="H14" s="1162">
        <f t="shared" si="5"/>
        <v>0</v>
      </c>
      <c r="I14" s="1164">
        <f t="shared" si="5"/>
        <v>0</v>
      </c>
      <c r="J14" s="1164">
        <f t="shared" si="5"/>
        <v>0</v>
      </c>
      <c r="K14" s="1164">
        <f t="shared" si="5"/>
        <v>0</v>
      </c>
      <c r="L14" s="1164">
        <f t="shared" si="5"/>
        <v>2217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74</v>
      </c>
      <c r="X14" s="1164">
        <f t="shared" si="6"/>
        <v>1866</v>
      </c>
      <c r="Y14" s="1165">
        <f t="shared" si="6"/>
        <v>1940</v>
      </c>
      <c r="Z14" s="1165">
        <f t="shared" si="6"/>
        <v>0</v>
      </c>
      <c r="AA14" s="1165">
        <f t="shared" si="6"/>
        <v>67</v>
      </c>
      <c r="AB14" s="1165">
        <f t="shared" si="6"/>
        <v>7735</v>
      </c>
      <c r="AC14" s="1165">
        <f t="shared" si="6"/>
        <v>128</v>
      </c>
      <c r="AD14" s="1165">
        <f t="shared" si="6"/>
        <v>0</v>
      </c>
      <c r="AE14" s="1169">
        <f t="shared" si="6"/>
        <v>0</v>
      </c>
      <c r="AF14" s="1162">
        <f t="shared" si="6"/>
        <v>0</v>
      </c>
      <c r="AG14" s="1170">
        <f t="shared" si="6"/>
        <v>0</v>
      </c>
      <c r="AH14" s="1167">
        <f t="shared" si="6"/>
        <v>0</v>
      </c>
      <c r="AI14" s="1162">
        <f t="shared" si="6"/>
        <v>1572</v>
      </c>
      <c r="AJ14" s="1164">
        <f t="shared" si="6"/>
        <v>0</v>
      </c>
      <c r="AK14" s="1167">
        <f>SUBTOTAL(9,AK9:AK13)</f>
        <v>0</v>
      </c>
      <c r="AL14" s="1171">
        <f>IF(ISNUMBER(NºAsuntos!G14/NºAsuntos!E14),NºAsuntos!G14/NºAsuntos!E14," - ")</f>
        <v>0.94110793348162269</v>
      </c>
      <c r="AM14" s="1171">
        <f>IF(ISNUMBER(((NºAsuntos!I14/NºAsuntos!G14)*11)/factor_trimestre),((NºAsuntos!I14/NºAsuntos!G14)*11)/factor_trimestre," - ")</f>
        <v>5.7853685987619583</v>
      </c>
      <c r="AN14" s="1172">
        <f>IF(ISNUMBER('Resol  Asuntos'!D14/NºAsuntos!G14),'Resol  Asuntos'!D14/NºAsuntos!G14," - ")</f>
        <v>0.17692740574001126</v>
      </c>
      <c r="AO14" s="1173">
        <f>IF(ISNUMBER((NºAsuntos!C14+NºAsuntos!E14)/NºAsuntos!G14),(NºAsuntos!C14+NºAsuntos!E14)/NºAsuntos!G14," - ")</f>
        <v>1.5315700619020822</v>
      </c>
      <c r="AP14" s="1174" t="str">
        <f t="shared" si="2"/>
        <v xml:space="preserve"> - </v>
      </c>
      <c r="AQ14" s="1174">
        <f>IF(ISNUMBER((H14-W14+K14)/(F14)),(H14-W14+K14)/(F14)," - ")</f>
        <v>-1.85</v>
      </c>
      <c r="AR14" s="1175">
        <f>IF(ISNUMBER((Datos!P14-Datos!Q14)/(Datos!R14-Datos!P14+Datos!Q14)),(Datos!P14-Datos!Q14)/(Datos!R14-Datos!P14+Datos!Q14)," - ")</f>
        <v>4.7535211267605633E-2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510</v>
      </c>
      <c r="C16" s="173" t="str">
        <f>Datos!A16</f>
        <v xml:space="preserve">Jdos. Instrucción                               </v>
      </c>
      <c r="D16" s="173"/>
      <c r="E16" s="1402">
        <f>IF(ISNUMBER(Datos!AQ16),Datos!AQ16," - ")</f>
        <v>3</v>
      </c>
      <c r="F16" s="239">
        <f>IF(ISNUMBER(AA16+W16-Datos!J16-K16),AA16+W16-Datos!J16-K16," - ")</f>
        <v>1645</v>
      </c>
      <c r="G16" s="373">
        <f>IF(ISNUMBER(IF(D_I="SI",Datos!I16,Datos!I16+Datos!AC16)),IF(D_I="SI",Datos!I16,Datos!I16+Datos!AC16)," - ")</f>
        <v>1409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461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8658</v>
      </c>
      <c r="X16" s="240">
        <f>IF(ISNUMBER(Datos!Q16),Datos!Q16," - ")</f>
        <v>389</v>
      </c>
      <c r="Y16" s="374">
        <f>SUM(W16)</f>
        <v>8658</v>
      </c>
      <c r="Z16" s="375" t="str">
        <f>IF(ISNUMBER(Datos!CC16),Datos!CC16," - ")</f>
        <v xml:space="preserve"> - </v>
      </c>
      <c r="AA16" s="372">
        <f>IF(ISNUMBER(IF(D_I="SI",Datos!L16,Datos!L16+Datos!AF16)),IF(D_I="SI",Datos!L16,Datos!L16+Datos!AF16)," - ")</f>
        <v>1386</v>
      </c>
      <c r="AB16" s="374">
        <f>IF(ISNUMBER(Datos!R16),Datos!R16," - ")</f>
        <v>313</v>
      </c>
      <c r="AC16" s="374">
        <f t="shared" ref="AC16:AC22" si="8">IF(ISNUMBER(AA16+AB16),AA16+AB16," - ")</f>
        <v>1699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1537</v>
      </c>
      <c r="AJ16" s="245" t="str">
        <f>IF(ISNUMBER(Datos!BW16),Datos!BW16," - ")</f>
        <v xml:space="preserve"> - </v>
      </c>
      <c r="AK16" s="246" t="str">
        <f>IF(ISNUMBER(Datos!BX16),Datos!BX16," - ")</f>
        <v xml:space="preserve"> - </v>
      </c>
      <c r="AL16" s="266">
        <f>IF(ISNUMBER(NºAsuntos!G16/NºAsuntos!E16),NºAsuntos!G16/NºAsuntos!E16," - ")</f>
        <v>1.0308370044052864</v>
      </c>
      <c r="AM16" s="284">
        <f>IF(ISNUMBER(((NºAsuntos!I16/NºAsuntos!G16)*11)/factor_trimestre),((NºAsuntos!I16/NºAsuntos!G16)*11)/factor_trimestre," - ")</f>
        <v>1.7609147609147611</v>
      </c>
      <c r="AN16" s="267">
        <f>IF(ISNUMBER('Resol  Asuntos'!D16/NºAsuntos!G16),'Resol  Asuntos'!D16/NºAsuntos!G16," - ")</f>
        <v>0.17752367752367754</v>
      </c>
      <c r="AO16" s="268">
        <f>IF(ISNUMBER((NºAsuntos!C16+NºAsuntos!E16)/NºAsuntos!G16),(NºAsuntos!C16+NºAsuntos!E16)/NºAsuntos!G16," - ")</f>
        <v>1.1328251328251329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917</v>
      </c>
      <c r="X18" s="240">
        <f>IF(ISNUMBER(Datos!Q18),Datos!Q18," - ")</f>
        <v>40</v>
      </c>
      <c r="Y18" s="374">
        <f t="shared" si="9"/>
        <v>957</v>
      </c>
      <c r="Z18" s="375" t="str">
        <f>IF(ISNUMBER(Datos!CC18),Datos!CC18," - ")</f>
        <v xml:space="preserve"> - </v>
      </c>
      <c r="AA18" s="372">
        <f>IF(ISNUMBER(Datos!L18),Datos!L18,"-")</f>
        <v>92</v>
      </c>
      <c r="AB18" s="374">
        <f>IF(ISNUMBER(Datos!R18),Datos!R18," - ")</f>
        <v>20</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267</v>
      </c>
      <c r="AJ18" s="245" t="str">
        <f>IF(ISNUMBER(Datos!BW18),Datos!BW18," - ")</f>
        <v xml:space="preserve"> - </v>
      </c>
      <c r="AK18" s="246" t="str">
        <f>IF(ISNUMBER(Datos!BX18),Datos!BX18," - ")</f>
        <v xml:space="preserve"> - </v>
      </c>
      <c r="AL18" s="266">
        <f>IF(ISNUMBER(NºAsuntos!G18/NºAsuntos!E18),NºAsuntos!G18/NºAsuntos!E18," - ")</f>
        <v>1.0121412803532008</v>
      </c>
      <c r="AM18" s="284">
        <f>IF(ISNUMBER(((NºAsuntos!I18/NºAsuntos!G18)*11)/factor_trimestre),((NºAsuntos!I18/NºAsuntos!G18)*11)/factor_trimestre," - ")</f>
        <v>1.1035986913849509</v>
      </c>
      <c r="AN18" s="267">
        <f>IF(ISNUMBER('Resol  Asuntos'!D18/NºAsuntos!G18),'Resol  Asuntos'!D18/NºAsuntos!G18," - ")</f>
        <v>0.29116684841875684</v>
      </c>
      <c r="AO18" s="268">
        <f>IF(ISNUMBER((NºAsuntos!C18+NºAsuntos!E18)/NºAsuntos!G18),(NºAsuntos!C18+NºAsuntos!E18)/NºAsuntos!G18," - ")</f>
        <v>1.1003271537622683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1</v>
      </c>
      <c r="F21" s="239">
        <f>IF(ISNUMBER(Datos!L21+Datos!K21-Datos!J21-K21),Datos!L21+Datos!K21-Datos!J21-K21," - ")</f>
        <v>559</v>
      </c>
      <c r="G21" s="373">
        <f>IF(ISNUMBER(Datos!I21),Datos!I21," - ")</f>
        <v>532</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1179</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399</v>
      </c>
      <c r="X21" s="240">
        <f>IF(ISNUMBER(Datos!Q21),Datos!Q21," - ")</f>
        <v>1511</v>
      </c>
      <c r="Y21" s="374">
        <f t="shared" si="9"/>
        <v>1910</v>
      </c>
      <c r="Z21" s="375" t="str">
        <f>IF(ISNUMBER(Datos!CC21),Datos!CC21," - ")</f>
        <v xml:space="preserve"> - </v>
      </c>
      <c r="AA21" s="372">
        <f>IF(ISNUMBER(Datos!L21),Datos!L21,"-")</f>
        <v>612</v>
      </c>
      <c r="AB21" s="374">
        <f>IF(ISNUMBER(Datos!R21),Datos!R21," - ")</f>
        <v>2091</v>
      </c>
      <c r="AC21" s="374">
        <f t="shared" si="8"/>
        <v>2703</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369</v>
      </c>
      <c r="AJ21" s="245" t="str">
        <f>IF(ISNUMBER(Datos!BW21),Datos!BW21," - ")</f>
        <v xml:space="preserve"> - </v>
      </c>
      <c r="AK21" s="246" t="str">
        <f>IF(ISNUMBER(Datos!BX21),Datos!BX21," - ")</f>
        <v xml:space="preserve"> - </v>
      </c>
      <c r="AL21" s="266">
        <f>IF(ISNUMBER(NºAsuntos!G21/NºAsuntos!E21),NºAsuntos!G21/NºAsuntos!E21," - ")</f>
        <v>0.88274336283185839</v>
      </c>
      <c r="AM21" s="284">
        <f>IF(ISNUMBER(((NºAsuntos!I21/NºAsuntos!G21)*11)/factor_trimestre),((NºAsuntos!I21/NºAsuntos!G21)*11)/factor_trimestre," - ")</f>
        <v>16.872180451127818</v>
      </c>
      <c r="AN21" s="267">
        <f>IF(ISNUMBER('Resol  Asuntos'!D21/NºAsuntos!G21),'Resol  Asuntos'!D21/NºAsuntos!G21," - ")</f>
        <v>0.92481203007518797</v>
      </c>
      <c r="AO21" s="268">
        <f>IF(ISNUMBER((NºAsuntos!C21+NºAsuntos!E21)/NºAsuntos!G21),(NºAsuntos!C21+NºAsuntos!E21)/NºAsuntos!G21," - ")</f>
        <v>2.4661654135338344</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2204</v>
      </c>
      <c r="G23" s="1163">
        <f>SUBTOTAL(9,G16:G22)</f>
        <v>2044</v>
      </c>
      <c r="H23" s="1162">
        <f t="shared" ref="H23:O23" si="13">SUBTOTAL(9,H15:H22)</f>
        <v>0</v>
      </c>
      <c r="I23" s="1164">
        <f t="shared" si="13"/>
        <v>0</v>
      </c>
      <c r="J23" s="1164">
        <f t="shared" si="13"/>
        <v>0</v>
      </c>
      <c r="K23" s="1164">
        <f t="shared" si="13"/>
        <v>0</v>
      </c>
      <c r="L23" s="1164">
        <f t="shared" si="13"/>
        <v>1693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9974</v>
      </c>
      <c r="X23" s="1164">
        <f t="shared" si="14"/>
        <v>1940</v>
      </c>
      <c r="Y23" s="1165">
        <f t="shared" si="14"/>
        <v>11525</v>
      </c>
      <c r="Z23" s="1165">
        <f t="shared" si="14"/>
        <v>0</v>
      </c>
      <c r="AA23" s="1165">
        <f t="shared" si="14"/>
        <v>2090</v>
      </c>
      <c r="AB23" s="1165">
        <f t="shared" si="14"/>
        <v>2424</v>
      </c>
      <c r="AC23" s="1165">
        <f t="shared" si="14"/>
        <v>4514</v>
      </c>
      <c r="AD23" s="1165">
        <f t="shared" si="14"/>
        <v>0</v>
      </c>
      <c r="AE23" s="1169">
        <f t="shared" si="14"/>
        <v>0</v>
      </c>
      <c r="AF23" s="1162">
        <f t="shared" si="14"/>
        <v>0</v>
      </c>
      <c r="AG23" s="1170">
        <f t="shared" si="14"/>
        <v>0</v>
      </c>
      <c r="AH23" s="1167">
        <f t="shared" si="14"/>
        <v>0</v>
      </c>
      <c r="AI23" s="1162">
        <f t="shared" si="14"/>
        <v>2173</v>
      </c>
      <c r="AJ23" s="1164">
        <f t="shared" si="14"/>
        <v>0</v>
      </c>
      <c r="AK23" s="1167">
        <f t="shared" si="14"/>
        <v>0</v>
      </c>
      <c r="AL23" s="1171">
        <f>IF(ISNUMBER(NºAsuntos!G23/NºAsuntos!E23),NºAsuntos!G23/NºAsuntos!E23," - ")</f>
        <v>1.0222404427590448</v>
      </c>
      <c r="AM23" s="1171">
        <f>IF(ISNUMBER(((NºAsuntos!I23/NºAsuntos!G23)*11)/factor_trimestre),((NºAsuntos!I23/NºAsuntos!G23)*11)/factor_trimestre," - ")</f>
        <v>2.3049929817525565</v>
      </c>
      <c r="AN23" s="1172">
        <f>IF(ISNUMBER('Resol  Asuntos'!D23/NºAsuntos!G23),'Resol  Asuntos'!D23/NºAsuntos!G23," - ")</f>
        <v>0.21786645277722078</v>
      </c>
      <c r="AO23" s="1173">
        <f>IF(ISNUMBER((NºAsuntos!C23+NºAsuntos!E23)/NºAsuntos!G23),(NºAsuntos!C23+NºAsuntos!E23)/NºAsuntos!G23," - ")</f>
        <v>1.183176258271506</v>
      </c>
      <c r="AP23" s="1174" t="str">
        <f t="shared" si="2"/>
        <v xml:space="preserve"> - </v>
      </c>
      <c r="AQ23" s="1174">
        <f>IF(ISNUMBER((H23-W23+K23)/(F23)),(H23-W23+K23)/(F23)," - ")</f>
        <v>-4.5254083484573506</v>
      </c>
      <c r="AR23" s="1175">
        <f>IF(ISNUMBER((Datos!P23-Datos!Q23)/(Datos!R23-Datos!P23+Datos!Q23)),(Datos!P23-Datos!Q23)/(Datos!R23-Datos!P23+Datos!Q23)," - ")</f>
        <v>-9.2474728566080119E-2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2244</v>
      </c>
      <c r="G31" s="1118">
        <f t="shared" si="20"/>
        <v>2084</v>
      </c>
      <c r="H31" s="1117">
        <f t="shared" si="20"/>
        <v>0</v>
      </c>
      <c r="I31" s="1119">
        <f t="shared" si="20"/>
        <v>0</v>
      </c>
      <c r="J31" s="1119">
        <f t="shared" si="20"/>
        <v>0</v>
      </c>
      <c r="K31" s="1180">
        <f t="shared" si="20"/>
        <v>0</v>
      </c>
      <c r="L31" s="1119">
        <f t="shared" si="20"/>
        <v>3910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10048</v>
      </c>
      <c r="X31" s="1118">
        <f t="shared" si="21"/>
        <v>3806</v>
      </c>
      <c r="Y31" s="1125">
        <f t="shared" si="21"/>
        <v>13465</v>
      </c>
      <c r="Z31" s="1125">
        <f t="shared" si="21"/>
        <v>0</v>
      </c>
      <c r="AA31" s="1125">
        <f t="shared" si="21"/>
        <v>2157</v>
      </c>
      <c r="AB31" s="1125">
        <f t="shared" si="21"/>
        <v>10159</v>
      </c>
      <c r="AC31" s="1125">
        <f t="shared" si="21"/>
        <v>4642</v>
      </c>
      <c r="AD31" s="1125">
        <f t="shared" si="21"/>
        <v>0</v>
      </c>
      <c r="AE31" s="1127">
        <f t="shared" si="21"/>
        <v>0</v>
      </c>
      <c r="AF31" s="1128">
        <f t="shared" si="21"/>
        <v>0</v>
      </c>
      <c r="AG31" s="1129">
        <f t="shared" si="21"/>
        <v>0</v>
      </c>
      <c r="AH31" s="1127">
        <f t="shared" si="21"/>
        <v>0</v>
      </c>
      <c r="AI31" s="1117">
        <f t="shared" si="21"/>
        <v>3745</v>
      </c>
      <c r="AJ31" s="1117">
        <f t="shared" si="21"/>
        <v>0</v>
      </c>
      <c r="AK31" s="1127">
        <f t="shared" si="21"/>
        <v>0</v>
      </c>
      <c r="AL31" s="1183">
        <f>IF(ISNUMBER(NºAsuntos!G31/NºAsuntos!E31),NºAsuntos!G31/NºAsuntos!E31," - ")</f>
        <v>0.9823419106156891</v>
      </c>
      <c r="AM31" s="1184">
        <f>IF(ISNUMBER(((NºAsuntos!I31/NºAsuntos!G31)*11)/factor_trimestre),((NºAsuntos!I31/NºAsuntos!G31)*11)/factor_trimestre," - ")</f>
        <v>3.9446948406596318</v>
      </c>
      <c r="AN31" s="1184">
        <f>IF(ISNUMBER('Resol  Asuntos'!D31/NºAsuntos!G31),'Resol  Asuntos'!D31/NºAsuntos!G31," - ")</f>
        <v>0.19857892783286493</v>
      </c>
      <c r="AO31" s="1185">
        <f>IF(ISNUMBER((NºAsuntos!C31+NºAsuntos!E31)/NºAsuntos!G31),(NºAsuntos!C31+NºAsuntos!E31)/NºAsuntos!G31," - ")</f>
        <v>1.3473142796542765</v>
      </c>
      <c r="AP31" s="1186" t="str">
        <f t="shared" si="2"/>
        <v xml:space="preserve"> - </v>
      </c>
      <c r="AQ31" s="1187">
        <f>IF(OR(ISNUMBER(FIND("01",Criterios!A8,1)),ISNUMBER(FIND("02",Criterios!A8,1)),ISNUMBER(FIND("03",Criterios!A8,1)),ISNUMBER(FIND("04",Criterios!A8,1))),(I31-W31+K31)/(F31-K31),(H31-W31+K31)/(F31-K31))</f>
        <v>-4.4777183600713011</v>
      </c>
      <c r="AR31" s="1188">
        <f>IF(ISNUMBER((Datos!P31-Datos!Q31)/(Datos!R31-Datos!P31+Datos!Q31)),(Datos!P31-Datos!Q31)/(Datos!R31-Datos!P31+Datos!Q31)," - ")</f>
        <v>1.0343112879164595E-2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463.11111111111109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2.256893274273728</v>
      </c>
      <c r="F33" s="276">
        <f>IF(ISNUMBER(STDEV(F8:F30)),STDEV(F8:F30),"-")</f>
        <v>875.17785947445316</v>
      </c>
      <c r="G33" s="277">
        <f>IF(ISNUMBER(STDEV(G8:G30)),STDEV(G8:G30),"-")</f>
        <v>752.47947554143366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4040.1198448945934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840.04505290436111</v>
      </c>
      <c r="AJ33" s="276">
        <f t="shared" si="25"/>
        <v>0</v>
      </c>
      <c r="AK33" s="278">
        <f t="shared" si="25"/>
        <v>0</v>
      </c>
      <c r="AL33" s="273">
        <f t="shared" si="25"/>
        <v>9.9885783512943888E-2</v>
      </c>
      <c r="AM33" s="274">
        <f t="shared" si="25"/>
        <v>5.2058111013082833</v>
      </c>
      <c r="AN33" s="274">
        <f t="shared" si="25"/>
        <v>0.27595491845074932</v>
      </c>
      <c r="AO33" s="275">
        <f t="shared" si="25"/>
        <v>0.4597262658138706</v>
      </c>
      <c r="AP33" s="317" t="str">
        <f t="shared" si="25"/>
        <v>-</v>
      </c>
      <c r="AQ33" s="318">
        <f t="shared" si="25"/>
        <v>1.8917993856372946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ZR3NgkVtNcvjuCmKS+TmLaF8tdy+jLah67Czuu2RBy57Bkz9e/HlY4/mGE32crc2AfBuajIc7u82Lt1mxUz8Q==" saltValue="Io98krKzxcck/MziXfQf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GANDIA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-9.7432905484247379E-2</v>
      </c>
      <c r="I9" s="395">
        <f>IF(ISNUMBER((Tasas!C9-Datos!BE9)/Datos!BE9),(Tasas!C9-Datos!BE9)/Datos!BE9," - ")</f>
        <v>5.7177950083770045E-2</v>
      </c>
      <c r="J9" s="394">
        <f>IF(ISNUMBER((Tasas!D9-Datos!BF9)/Datos!BF9),(Tasas!D9-Datos!BF9)/Datos!BF9," - ")</f>
        <v>-0.54407634382525705</v>
      </c>
      <c r="K9" s="396">
        <f>IF(ISNUMBER((Tasas!E9-Datos!BG9)/Datos!BG9),(Tasas!E9-Datos!BG9)/Datos!BG9," - ")</f>
        <v>2.4195059100734894E-2</v>
      </c>
      <c r="M9" t="e">
        <f>IF(Monitorios="SI",Datos!CE9,0)</f>
        <v>#REF!</v>
      </c>
      <c r="N9" t="e">
        <f>IF(Monitorios="SI",Datos!CF9,0)</f>
        <v>#REF!</v>
      </c>
      <c r="O9" t="e">
        <f>IF(Monitorios="SI",Datos!CG9,0)</f>
        <v>#REF!</v>
      </c>
      <c r="P9" t="e">
        <f>IF(Monitorios="SI",Datos!CH9,0)</f>
        <v>#REF!</v>
      </c>
      <c r="Q9">
        <f>IF(J_V="SI",0,Datos!AG9)</f>
        <v>204</v>
      </c>
      <c r="R9">
        <f>IF(J_V="SI",0,Datos!AH9)</f>
        <v>863</v>
      </c>
      <c r="S9">
        <f>IF(J_V="SI",0,Datos!AI9)</f>
        <v>809</v>
      </c>
      <c r="T9">
        <f>IF(J_V="SI",0,Datos!AJ9)</f>
        <v>266</v>
      </c>
    </row>
    <row r="10" spans="2:20" ht="14.25">
      <c r="B10" s="300" t="s">
        <v>320</v>
      </c>
      <c r="C10" s="7" t="str">
        <f>Datos!A10</f>
        <v>Jdos. Violencia contra la mujer</v>
      </c>
      <c r="D10" s="397">
        <f>IF(ISNUMBER((Datos!I10-Datos!S10)/Datos!S10),(Datos!I10-Datos!S10)/Datos!S10," - ")</f>
        <v>-0.14893617021276595</v>
      </c>
      <c r="E10" s="393">
        <f>IF(ISNUMBER((Datos!J10-Datos!T10)/Datos!T10),(Datos!J10-Datos!T10)/Datos!T10," - ")</f>
        <v>0.29487179487179488</v>
      </c>
      <c r="F10" s="393">
        <f>IF(ISNUMBER((Datos!K10-Datos!U10)/Datos!U10),(Datos!K10-Datos!U10)/Datos!U10," - ")</f>
        <v>-0.12941176470588237</v>
      </c>
      <c r="G10" s="394">
        <f>IF(ISNUMBER((Datos!L10-Datos!V10)/Datos!V10),(Datos!L10-Datos!V10)/Datos!V10," - ")</f>
        <v>0.67500000000000004</v>
      </c>
      <c r="H10" s="244">
        <f>IF(ISNUMBER((Datos!M10-Datos!W10)/Datos!W10),(Datos!M10-Datos!W10)/Datos!W10," - ")</f>
        <v>-0.47916666666666669</v>
      </c>
      <c r="I10" s="395">
        <f>IF(ISNUMBER((Tasas!C10-Datos!BE10)/Datos!BE10),(Tasas!C10-Datos!BE10)/Datos!BE10," - ")</f>
        <v>0.9239864864864864</v>
      </c>
      <c r="J10" s="394">
        <f>IF(ISNUMBER((Tasas!D10-Datos!BF10)/Datos!BF10),(Tasas!D10-Datos!BF10)/Datos!BF10," - ")</f>
        <v>-0.40174549549549549</v>
      </c>
      <c r="K10" s="396">
        <f>IF(ISNUMBER((Tasas!E10-Datos!BG10)/Datos!BG10),(Tasas!E10-Datos!BG10)/Datos!BG10," - ")</f>
        <v>0.29567567567567565</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-0.5</v>
      </c>
      <c r="J12" s="394" t="str">
        <f>IF(ISNUMBER((Tasas!D12-Datos!BF12)/Datos!BF12),(Tasas!D12-Datos!BF12)/Datos!BF12," - ")</f>
        <v xml:space="preserve"> - </v>
      </c>
      <c r="K12" s="396">
        <f>IF(ISNUMBER((Tasas!E12-Datos!BG12)/Datos!BG12),(Tasas!E12-Datos!BG12)/Datos!BG12," - ")</f>
        <v>-0.25</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-0.10783200908059024</v>
      </c>
      <c r="I14" s="402">
        <f>IF(ISNUMBER((Tasas!C14-Datos!BE14)/Datos!BE14),(Tasas!C14-Datos!BE14)/Datos!BE14," - ")</f>
        <v>6.4001947936455417E-2</v>
      </c>
      <c r="J14" s="400">
        <f>IF(ISNUMBER((Tasas!D14-Datos!BF14)/Datos!BF14),(Tasas!D14-Datos!BF14)/Datos!BF14," - ")</f>
        <v>-0.54276577854436081</v>
      </c>
      <c r="K14" s="403">
        <f>IF(ISNUMBER((Tasas!E14-Datos!BG14)/Datos!BG14),(Tasas!E14-Datos!BG14)/Datos!BG14," - ")</f>
        <v>2.6403976614560169E-2</v>
      </c>
      <c r="M14" t="e">
        <f>IF(Monitorios="SI",Datos!CE14,0)</f>
        <v>#REF!</v>
      </c>
      <c r="N14" t="e">
        <f>IF(Monitorios="SI",Datos!CF14,0)</f>
        <v>#REF!</v>
      </c>
      <c r="O14" t="e">
        <f>IF(Monitorios="SI",Datos!CG14,0)</f>
        <v>#REF!</v>
      </c>
      <c r="P14" t="e">
        <f>IF(Monitorios="SI",Datos!CH14,0)</f>
        <v>#REF!</v>
      </c>
      <c r="Q14">
        <f>IF(J_V="SI",0,Datos!AG14)</f>
        <v>204</v>
      </c>
      <c r="R14">
        <f>IF(J_V="SI",0,Datos!AH14)</f>
        <v>863</v>
      </c>
      <c r="S14">
        <f>IF(J_V="SI",0,Datos!AI14)</f>
        <v>809</v>
      </c>
      <c r="T14">
        <f>IF(J_V="SI",0,Datos!AJ14)</f>
        <v>266</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-0.10935524652338811</v>
      </c>
      <c r="E16" s="393">
        <f>IF(ISNUMBER(
   IF(D_I="SI",(Datos!J16-Datos!T16)/Datos!T16,(Datos!J16+Datos!AD16-(Datos!T16+Datos!AL16))/(Datos!T16+Datos!AL16))
     ),IF(D_I="SI",(Datos!J16-Datos!T16)/Datos!T16,(Datos!J16+Datos!AD16-(Datos!T16+Datos!AL16))/(Datos!T16+Datos!AL16))," - ")</f>
        <v>6.5592489215935038E-2</v>
      </c>
      <c r="F16" s="393">
        <f>IF(ISNUMBER(
   IF(D_I="SI",(Datos!K16-Datos!U16)/Datos!U16,(Datos!K16+Datos!AE16-(Datos!U16+Datos!AM16))/(Datos!U16+Datos!AM16))
     ),IF(D_I="SI",(Datos!K16-Datos!U16)/Datos!U16,(Datos!K16+Datos!AE16-(Datos!U16+Datos!AM16))/(Datos!U16+Datos!AM16))," - ")</f>
        <v>9.3734209196563917E-2</v>
      </c>
      <c r="G16" s="394">
        <f>IF(ISNUMBER(
   IF(D_I="SI",(Datos!L16-Datos!V16)/Datos!V16,(Datos!L16+Datos!AF16-(Datos!V16+Datos!AN16))/(Datos!V16+Datos!AN16))
     ),IF(D_I="SI",(Datos!L16-Datos!V16)/Datos!V16,(Datos!L16+Datos!AF16-(Datos!V16+Datos!AN16))/(Datos!V16+Datos!AN16))," - ")</f>
        <v>-1.6323633782824698E-2</v>
      </c>
      <c r="H16" s="244">
        <f>IF(ISNUMBER((Datos!M16-Datos!W16)/Datos!W16),(Datos!M16-Datos!W16)/Datos!W16," - ")</f>
        <v>5.4183813443072701E-2</v>
      </c>
      <c r="I16" s="395">
        <f>IF(ISNUMBER((Tasas!C16-Datos!BE16)/Datos!BE16),(Tasas!C16-Datos!BE16)/Datos!BE16," - ")</f>
        <v>-0.1006257663461354</v>
      </c>
      <c r="J16" s="394">
        <f>IF(ISNUMBER((Tasas!D16-Datos!BF16)/Datos!BF16),(Tasas!D16-Datos!BF16)/Datos!BF16," - ")</f>
        <v>-3.6160883897509342E-2</v>
      </c>
      <c r="K16" s="396">
        <f>IF(ISNUMBER((Tasas!E16-Datos!BG16)/Datos!BG16),(Tasas!E16-Datos!BG16)/Datos!BG16," - ")</f>
        <v>-5.2467904538910475E-2</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0.47142857142857142</v>
      </c>
      <c r="E18" s="393">
        <f>IF(ISNUMBER(
   IF(D_I="SI",(Datos!J18-Datos!T18)/Datos!T18,(Datos!J18+Datos!AD18-(Datos!T18+Datos!AL18))/(Datos!T18+Datos!AL18))
     ),IF(D_I="SI",(Datos!J18-Datos!T18)/Datos!T18,(Datos!J18+Datos!AD18-(Datos!T18+Datos!AL18))/(Datos!T18+Datos!AL18))," - ")</f>
        <v>5.9649122807017542E-2</v>
      </c>
      <c r="F18" s="393">
        <f>IF(ISNUMBER(
   IF(D_I="SI",(Datos!K18-Datos!U18)/Datos!U18,(Datos!K18+Datos!AE18-(Datos!U18+Datos!AM18))/(Datos!U18+Datos!AM18))
     ),IF(D_I="SI",(Datos!K18-Datos!U18)/Datos!U18,(Datos!K18+Datos!AE18-(Datos!U18+Datos!AM18))/(Datos!U18+Datos!AM18))," - ")</f>
        <v>0.11557177615571776</v>
      </c>
      <c r="G18" s="394">
        <f>IF(ISNUMBER(
   IF(D_I="SI",(Datos!L18-Datos!V18)/Datos!V18,(Datos!L18+Datos!AF18-(Datos!V18+Datos!AN18))/(Datos!V18+Datos!AN18))
     ),IF(D_I="SI",(Datos!L18-Datos!V18)/Datos!V18,(Datos!L18+Datos!AF18-(Datos!V18+Datos!AN18))/(Datos!V18+Datos!AN18))," - ")</f>
        <v>-0.10679611650485436</v>
      </c>
      <c r="H18" s="244">
        <f>IF(ISNUMBER((Datos!M18-Datos!W18)/Datos!W18),(Datos!M18-Datos!W18)/Datos!W18," - ")</f>
        <v>4.7058823529411764E-2</v>
      </c>
      <c r="I18" s="395">
        <f>IF(ISNUMBER((Tasas!C18-Datos!BE18)/Datos!BE18),(Tasas!C18-Datos!BE18)/Datos!BE18," - ")</f>
        <v>-0.19933086997490773</v>
      </c>
      <c r="J18" s="394">
        <f>IF(ISNUMBER((Tasas!D18-Datos!BF18)/Datos!BF18),(Tasas!D18-Datos!BF18)/Datos!BF18," - ")</f>
        <v>-6.1415100391301505E-2</v>
      </c>
      <c r="K18" s="396">
        <f>IF(ISNUMBER((Tasas!E18-Datos!BG18)/Datos!BG18),(Tasas!E18-Datos!BG18)/Datos!BG18," - ")</f>
        <v>-2.2195761737746445E-2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0.23433874709976799</v>
      </c>
      <c r="E21" s="393">
        <f>IF(ISNUMBER((Datos!J21-Datos!T21)/Datos!T21),(Datos!J21-Datos!T21)/Datos!T21," - ")</f>
        <v>4.4444444444444444E-3</v>
      </c>
      <c r="F21" s="393">
        <f>IF(ISNUMBER((Datos!K21-Datos!U21)/Datos!U21),(Datos!K21-Datos!U21)/Datos!U21," - ")</f>
        <v>7.5471698113207544E-2</v>
      </c>
      <c r="G21" s="394">
        <f>IF(ISNUMBER((Datos!L21-Datos!V21)/Datos!V21),(Datos!L21-Datos!V21)/Datos!V21," - ")</f>
        <v>0.15037593984962405</v>
      </c>
      <c r="H21" s="244">
        <f>IF(ISNUMBER((Datos!M21-Datos!W21)/Datos!W21),(Datos!M21-Datos!W21)/Datos!W21," - ")</f>
        <v>2.5000000000000001E-2</v>
      </c>
      <c r="I21" s="395">
        <f>IF(ISNUMBER((Tasas!C21-Datos!BE21)/Datos!BE21),(Tasas!C21-Datos!BE21)/Datos!BE21," - ")</f>
        <v>6.9647803719825888E-2</v>
      </c>
      <c r="J21" s="394">
        <f>IF(ISNUMBER((Tasas!D21-Datos!BF21)/Datos!BF21),(Tasas!D21-Datos!BF21)/Datos!BF21," - ")</f>
        <v>-4.6929824561403544E-2</v>
      </c>
      <c r="K21" s="396">
        <f>IF(ISNUMBER((Tasas!E21-Datos!BG21)/Datos!BG21),(Tasas!E21-Datos!BG21)/Datos!BG21," - ")</f>
        <v>3.8532767787800799E-2</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-1.9664268585131893E-2</v>
      </c>
      <c r="E23" s="399">
        <f>IF(ISNUMBER(
   IF(D_I="SI",(Datos!J23-Datos!T23)/Datos!T23,(Datos!J23+Datos!AD23-(Datos!T23+Datos!AL23))/(Datos!T23+Datos!AL23))
     ),IF(D_I="SI",(Datos!J23-Datos!T23)/Datos!T23,(Datos!J23+Datos!AD23-(Datos!T23+Datos!AL23))/(Datos!T23+Datos!AL23))," - ")</f>
        <v>6.2044192881245235E-2</v>
      </c>
      <c r="F23" s="399">
        <f>IF(ISNUMBER(
   IF(D_I="SI",(Datos!K23-Datos!U23)/Datos!U23,(Datos!K23+Datos!AE23-(Datos!U23+Datos!AM23))/(Datos!U23+Datos!AM23))
     ),IF(D_I="SI",(Datos!K23-Datos!U23)/Datos!U23,(Datos!K23+Datos!AE23-(Datos!U23+Datos!AM23))/(Datos!U23+Datos!AM23))," - ")</f>
        <v>9.4720667325211283E-2</v>
      </c>
      <c r="G23" s="400">
        <f>IF(ISNUMBER(
   IF(D_I="SI",(Datos!L23-Datos!V23)/Datos!V23,(Datos!L23+Datos!AF23-(Datos!V23+Datos!AN23))/(Datos!V23+Datos!AN23))
     ),IF(D_I="SI",(Datos!L23-Datos!V23)/Datos!V23,(Datos!L23+Datos!AF23-(Datos!V23+Datos!AN23))/(Datos!V23+Datos!AN23))," - ")</f>
        <v>2.2504892367906065E-2</v>
      </c>
      <c r="H23" s="401">
        <f>IF(ISNUMBER((Datos!M23-Datos!W23)/Datos!W23),(Datos!M23-Datos!W23)/Datos!W23," - ")</f>
        <v>4.8239266763145203E-2</v>
      </c>
      <c r="I23" s="402">
        <f>IF(ISNUMBER((Tasas!C23-Datos!BE23)/Datos!BE23),(Tasas!C23-Datos!BE23)/Datos!BE23," - ")</f>
        <v>-6.5967307563265229E-2</v>
      </c>
      <c r="J23" s="400">
        <f>IF(ISNUMBER((Tasas!D23-Datos!BF23)/Datos!BF23),(Tasas!D23-Datos!BF23)/Datos!BF23," - ")</f>
        <v>-4.2459599009523168E-2</v>
      </c>
      <c r="K23" s="403">
        <f>IF(ISNUMBER((Tasas!E23-Datos!BG23)/Datos!BG23),(Tasas!E23-Datos!BG23)/Datos!BG23," - ")</f>
        <v>-4.3655173073838607E-2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-6.9652486518873583E-2</v>
      </c>
      <c r="E31" s="409">
        <f>IF(ISNUMBER(
   IF(J_V="SI",(Datos!J31-Datos!T31)/Datos!T31,(Datos!J31+Datos!Z31-(Datos!T31+Datos!AH31))/(Datos!T31+Datos!AH31))
     ),IF(J_V="SI",(Datos!J31-Datos!T31)/Datos!T31,(Datos!J31+Datos!Z31-(Datos!T31+Datos!AH31))/(Datos!T31+Datos!AH31))," - ")</f>
        <v>0.11778748180494905</v>
      </c>
      <c r="F31" s="409">
        <f>IF(ISNUMBER(
   IF(J_V="SI",(Datos!K31-Datos!U31)/Datos!U31,(Datos!K31+Datos!AA31-(Datos!U31+Datos!AI31))/(Datos!U31+Datos!AI31))
     ),IF(J_V="SI",(Datos!K31-Datos!U31)/Datos!U31,(Datos!K31+Datos!AA31-(Datos!U31+Datos!AI31))/(Datos!U31+Datos!AI31))," - ")</f>
        <v>7.5138247534348099E-2</v>
      </c>
      <c r="G31" s="410">
        <f>IF(ISNUMBER(
   IF(J_V="SI",(Datos!L31-Datos!V31)/Datos!V31,(Datos!L31+Datos!AB31-(Datos!V31+Datos!AJ31))/(Datos!V31+Datos!AJ31))
     ),IF(J_V="SI",(Datos!L31-Datos!V31)/Datos!V31,(Datos!L31+Datos!AB31-(Datos!V31+Datos!AJ31))/(Datos!V31+Datos!AJ31))," - ")</f>
        <v>8.8874577362743526E-2</v>
      </c>
      <c r="H31" s="411">
        <f>IF(ISNUMBER((Datos!M31-Datos!W31)/Datos!W31),(Datos!M31-Datos!W31)/Datos!W31," - ")</f>
        <v>-2.3468057366362451E-2</v>
      </c>
      <c r="I31" s="408">
        <f>IF(ISNUMBER((Tasas!C31-Datos!BE31)/Datos!BE31),(Tasas!C31-Datos!BE31)/Datos!BE31," - ")</f>
        <v>1.2776338168507435E-2</v>
      </c>
      <c r="J31" s="409">
        <f>IF(ISNUMBER((Tasas!D31-Datos!BF31)/Datos!BF31),(Tasas!D31-Datos!BF31)/Datos!BF31," - ")</f>
        <v>-0.34709035180575754</v>
      </c>
      <c r="K31" s="410">
        <f>IF(ISNUMBER((Tasas!E31-Datos!BG31)/Datos!BG31),(Tasas!E31-Datos!BG31)/Datos!BG31," - ")</f>
        <v>-9.1300247614077325E-3</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0.50142201680848342</v>
      </c>
      <c r="E33" s="303">
        <f t="shared" si="1"/>
        <v>0.11327256174037291</v>
      </c>
      <c r="F33" s="303">
        <f t="shared" si="1"/>
        <v>0.4381392403261975</v>
      </c>
      <c r="G33" s="304">
        <f t="shared" si="1"/>
        <v>0.3103870727859479</v>
      </c>
      <c r="H33" s="310">
        <f t="shared" si="1"/>
        <v>0.19221266111427698</v>
      </c>
      <c r="I33" s="302">
        <f t="shared" si="1"/>
        <v>0.40750708023942633</v>
      </c>
      <c r="J33" s="303">
        <f t="shared" si="1"/>
        <v>0.24495903536815036</v>
      </c>
      <c r="K33" s="304">
        <f t="shared" si="1"/>
        <v>0.15014696268376179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UpzqVSGuR33q0fsDxMeXEj3DofS8huu5uVRaPUKofFcifWSmwlyUWZWmmnn1SttvFdjSeB5CIXT+nTnz57xbQ==" saltValue="g8j08TRjNwFJM4I1Rm4KP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